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M41" i="1" l="1"/>
  <c r="L41" i="1" l="1"/>
  <c r="M40" i="1" l="1"/>
  <c r="L40" i="1"/>
  <c r="K40" i="1" l="1"/>
  <c r="K41" i="1" l="1"/>
  <c r="K33" i="1" l="1"/>
  <c r="L33" i="1"/>
  <c r="M33" i="1"/>
  <c r="M28" i="1" l="1"/>
  <c r="M16" i="1"/>
  <c r="M27" i="1"/>
  <c r="M7" i="1"/>
  <c r="L28" i="1" l="1"/>
  <c r="L16" i="1"/>
  <c r="L27" i="1"/>
  <c r="L7" i="1"/>
  <c r="K28" i="1" l="1"/>
  <c r="K16" i="1"/>
  <c r="K27" i="1"/>
  <c r="K7" i="1"/>
  <c r="K35" i="1" l="1"/>
  <c r="L35" i="1"/>
  <c r="M35" i="1"/>
  <c r="K34" i="1"/>
  <c r="L34" i="1"/>
  <c r="M34" i="1"/>
  <c r="K29" i="1"/>
  <c r="L29" i="1"/>
  <c r="M29" i="1"/>
  <c r="K26" i="1"/>
  <c r="L26" i="1"/>
  <c r="M26" i="1"/>
  <c r="K25" i="1"/>
  <c r="L25" i="1"/>
  <c r="M25" i="1"/>
  <c r="H14" i="1" l="1"/>
  <c r="I14" i="1"/>
  <c r="J14" i="1"/>
  <c r="C14" i="1" l="1"/>
  <c r="D14" i="1"/>
  <c r="E14" i="1"/>
  <c r="F14" i="1"/>
  <c r="G14" i="1"/>
  <c r="B14" i="1"/>
  <c r="J41" i="1" l="1"/>
  <c r="I33" i="1" l="1"/>
  <c r="J33" i="1"/>
  <c r="H33" i="1"/>
  <c r="H41" i="1" l="1"/>
  <c r="I41" i="1" l="1"/>
  <c r="J35" i="1" l="1"/>
  <c r="I35" i="1"/>
  <c r="H35" i="1"/>
  <c r="J40" i="1"/>
  <c r="I40" i="1" l="1"/>
  <c r="H40" i="1" l="1"/>
  <c r="N37" i="1" l="1"/>
  <c r="J28" i="1" l="1"/>
  <c r="J16" i="1"/>
  <c r="J27" i="1"/>
  <c r="J7" i="1"/>
  <c r="I28" i="1" l="1"/>
  <c r="I16" i="1"/>
  <c r="I27" i="1"/>
  <c r="I7" i="1"/>
  <c r="H28" i="1" l="1"/>
  <c r="H16" i="1"/>
  <c r="H27" i="1"/>
  <c r="H7" i="1"/>
  <c r="H29" i="1"/>
  <c r="I29" i="1"/>
  <c r="J29" i="1"/>
  <c r="H26" i="1"/>
  <c r="I26" i="1"/>
  <c r="J26" i="1"/>
  <c r="H25" i="1"/>
  <c r="I25" i="1"/>
  <c r="J25" i="1"/>
  <c r="I34" i="1" l="1"/>
  <c r="J34" i="1"/>
  <c r="H34" i="1"/>
  <c r="G40" i="1" l="1"/>
  <c r="F40" i="1"/>
  <c r="E40" i="1" l="1"/>
  <c r="E41" i="1" l="1"/>
  <c r="F41" i="1" l="1"/>
  <c r="G35" i="1" l="1"/>
  <c r="F35" i="1"/>
  <c r="F36" i="1"/>
  <c r="E35" i="1" l="1"/>
  <c r="G33" i="1" l="1"/>
  <c r="F33" i="1"/>
  <c r="E33" i="1"/>
  <c r="E30" i="1"/>
  <c r="G41" i="1" l="1"/>
  <c r="G28" i="1" l="1"/>
  <c r="G16" i="1"/>
  <c r="G27" i="1"/>
  <c r="G7" i="1"/>
  <c r="F28" i="1" l="1"/>
  <c r="F16" i="1"/>
  <c r="F27" i="1"/>
  <c r="F7" i="1"/>
  <c r="E28" i="1" l="1"/>
  <c r="E16" i="1"/>
  <c r="E27" i="1"/>
  <c r="E7" i="1"/>
  <c r="G34" i="1" l="1"/>
  <c r="E34" i="1"/>
  <c r="F34" i="1"/>
  <c r="E29" i="1"/>
  <c r="F29" i="1"/>
  <c r="G29" i="1"/>
  <c r="E26" i="1"/>
  <c r="F26" i="1"/>
  <c r="G26" i="1"/>
  <c r="E25" i="1"/>
  <c r="F25" i="1"/>
  <c r="G25" i="1"/>
  <c r="D33" i="1" l="1"/>
  <c r="C33" i="1"/>
  <c r="B33" i="1"/>
  <c r="D30" i="1"/>
  <c r="C30" i="1"/>
  <c r="B30" i="1"/>
  <c r="C41" i="1" l="1"/>
  <c r="D35" i="1" l="1"/>
  <c r="C35" i="1" l="1"/>
  <c r="D40" i="1"/>
  <c r="C40" i="1"/>
  <c r="B40" i="1" l="1"/>
  <c r="D41" i="1" l="1"/>
  <c r="B41" i="1" l="1"/>
  <c r="D27" i="1" l="1"/>
  <c r="C29" i="1" l="1"/>
  <c r="D29" i="1"/>
  <c r="B29" i="1"/>
  <c r="C27" i="1"/>
  <c r="D26" i="1"/>
  <c r="C26" i="1"/>
  <c r="D28" i="1" l="1"/>
  <c r="D16" i="1"/>
  <c r="D7" i="1"/>
  <c r="N45" i="1"/>
  <c r="C28" i="1" l="1"/>
  <c r="C16" i="1"/>
  <c r="C7" i="1"/>
  <c r="B28" i="1" l="1"/>
  <c r="B16" i="1"/>
  <c r="B27" i="1"/>
  <c r="B7" i="1"/>
  <c r="C34" i="1" l="1"/>
  <c r="D34" i="1"/>
  <c r="C25" i="1"/>
  <c r="D25" i="1"/>
  <c r="B35" i="1"/>
  <c r="B34" i="1"/>
  <c r="B26" i="1"/>
  <c r="B25" i="1"/>
  <c r="N39" i="1" l="1"/>
  <c r="D15" i="1" l="1"/>
  <c r="B15" i="1" l="1"/>
  <c r="C15" i="1"/>
  <c r="C42" i="1" s="1"/>
  <c r="C43" i="1" s="1"/>
  <c r="E15" i="1"/>
  <c r="F15" i="1"/>
  <c r="G15" i="1"/>
  <c r="H15" i="1"/>
  <c r="I15" i="1"/>
  <c r="J15" i="1"/>
  <c r="K15" i="1"/>
  <c r="L15" i="1"/>
  <c r="M15" i="1"/>
  <c r="K42" i="1" l="1"/>
  <c r="K43" i="1" s="1"/>
  <c r="G42" i="1"/>
  <c r="G43" i="1" s="1"/>
  <c r="E42" i="1"/>
  <c r="N41" i="1"/>
  <c r="N28" i="1" l="1"/>
  <c r="N7" i="1"/>
  <c r="N26" i="1"/>
  <c r="N27" i="1"/>
  <c r="N29" i="1"/>
  <c r="N30" i="1"/>
  <c r="N31" i="1"/>
  <c r="N32" i="1"/>
  <c r="N33" i="1"/>
  <c r="N34" i="1"/>
  <c r="N35" i="1"/>
  <c r="N36" i="1"/>
  <c r="N38" i="1"/>
  <c r="N40" i="1"/>
  <c r="N25" i="1"/>
  <c r="N8" i="1"/>
  <c r="N9" i="1"/>
  <c r="N10" i="1"/>
  <c r="N11" i="1"/>
  <c r="N12" i="1"/>
  <c r="N13" i="1"/>
  <c r="N14" i="1"/>
  <c r="N22" i="1" l="1"/>
  <c r="N5" i="1" l="1"/>
  <c r="N4" i="1"/>
  <c r="M42" i="1" l="1"/>
  <c r="M43" i="1" s="1"/>
  <c r="L6" i="1"/>
  <c r="N17" i="1"/>
  <c r="N18" i="1"/>
  <c r="N19" i="1"/>
  <c r="N20" i="1"/>
  <c r="N21" i="1"/>
  <c r="N23" i="1"/>
  <c r="L42" i="1"/>
  <c r="L43" i="1" s="1"/>
  <c r="K6" i="1"/>
  <c r="M6" i="1"/>
  <c r="J6" i="1" l="1"/>
  <c r="I6" i="1"/>
  <c r="H42" i="1"/>
  <c r="H43" i="1" s="1"/>
  <c r="H6" i="1"/>
  <c r="I42" i="1" l="1"/>
  <c r="I43" i="1" s="1"/>
  <c r="J42" i="1"/>
  <c r="J43" i="1" s="1"/>
  <c r="F6" i="1" l="1"/>
  <c r="N16" i="1"/>
  <c r="D6" i="1"/>
  <c r="C6" i="1"/>
  <c r="B6" i="1"/>
  <c r="E6" i="1" l="1"/>
  <c r="F42" i="1"/>
  <c r="F43" i="1" s="1"/>
  <c r="G6" i="1"/>
  <c r="B46" i="1"/>
  <c r="C5" i="1" s="1"/>
  <c r="C46" i="1" s="1"/>
  <c r="D5" i="1" s="1"/>
  <c r="D46" i="1" s="1"/>
  <c r="E5" i="1" l="1"/>
  <c r="E46" i="1" s="1"/>
  <c r="N6" i="1"/>
  <c r="N15" i="1"/>
  <c r="E43" i="1"/>
  <c r="B42" i="1"/>
  <c r="D42" i="1"/>
  <c r="D43" i="1" s="1"/>
  <c r="N46" i="1" l="1"/>
  <c r="F5" i="1"/>
  <c r="F46" i="1" s="1"/>
  <c r="N42" i="1"/>
  <c r="N43" i="1" s="1"/>
  <c r="N44" i="1" s="1"/>
  <c r="B43" i="1"/>
  <c r="B44" i="1" s="1"/>
  <c r="C4" i="1" s="1"/>
  <c r="C44" i="1" s="1"/>
  <c r="D4" i="1" s="1"/>
  <c r="D44" i="1" s="1"/>
  <c r="E4" i="1" s="1"/>
  <c r="G5" i="1" l="1"/>
  <c r="G46" i="1" s="1"/>
  <c r="E44" i="1"/>
  <c r="F4" i="1" s="1"/>
  <c r="H5" i="1" l="1"/>
  <c r="H46" i="1" s="1"/>
  <c r="F44" i="1" l="1"/>
  <c r="I5" i="1" l="1"/>
  <c r="I46" i="1" s="1"/>
  <c r="G4" i="1"/>
  <c r="G44" i="1" s="1"/>
  <c r="J5" i="1" l="1"/>
  <c r="J46" i="1" s="1"/>
  <c r="H4" i="1"/>
  <c r="H44" i="1" s="1"/>
  <c r="I4" i="1" s="1"/>
  <c r="I44" i="1" s="1"/>
  <c r="J4" i="1" s="1"/>
  <c r="J44" i="1" l="1"/>
  <c r="K5" i="1"/>
  <c r="K46" i="1" s="1"/>
  <c r="L5" i="1" l="1"/>
  <c r="L46" i="1" s="1"/>
  <c r="K4" i="1"/>
  <c r="K44" i="1" s="1"/>
  <c r="L4" i="1" s="1"/>
  <c r="L44" i="1" s="1"/>
  <c r="M4" i="1" s="1"/>
  <c r="M44" i="1" s="1"/>
  <c r="M5" i="1" l="1"/>
  <c r="M46" i="1" s="1"/>
</calcChain>
</file>

<file path=xl/sharedStrings.xml><?xml version="1.0" encoding="utf-8"?>
<sst xmlns="http://schemas.openxmlformats.org/spreadsheetml/2006/main" count="59" uniqueCount="49">
  <si>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</si>
  <si>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</si>
  <si>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</si>
  <si>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</si>
  <si>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</si>
  <si>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</si>
  <si>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</si>
  <si>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</si>
  <si>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</si>
  <si>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</si>
  <si>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</si>
  <si>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</si>
  <si>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</si>
  <si>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</si>
  <si>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</si>
  <si>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</si>
  <si>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</si>
  <si>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</si>
  <si>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</si>
  <si>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</si>
  <si>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</si>
  <si>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</si>
  <si>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</si>
  <si>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</si>
  <si>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Доход от использования общего имущества</t>
  </si>
  <si>
    <t>Комплексное обслуживание лифтов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</si>
  <si>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</si>
  <si>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</si>
  <si>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</si>
  <si>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Установка пластиковых окон</t>
  </si>
  <si>
    <t>Содержание жилья и текущий ремонт,  ОПУ</t>
  </si>
  <si>
    <t>Вознаграждение совета МКД</t>
  </si>
  <si>
    <t>Налоги с вознаграждения совета МКД</t>
  </si>
  <si>
    <t>Январь 2025г.</t>
  </si>
  <si>
    <t>Февраль 2025г.</t>
  </si>
  <si>
    <t>Март 2025г.</t>
  </si>
  <si>
    <t>Апрель 2025г.</t>
  </si>
  <si>
    <t>Май 2025г.</t>
  </si>
  <si>
    <t>Июнь 2025г.</t>
  </si>
  <si>
    <t>Июль 2025г.</t>
  </si>
  <si>
    <t>Август 2025г.</t>
  </si>
  <si>
    <t>Сентябрь 2025г.</t>
  </si>
  <si>
    <t>Октябрь 2025г.</t>
  </si>
  <si>
    <t>Ноябрь 2025г.</t>
  </si>
  <si>
    <t>Декабрь 2025г.</t>
  </si>
  <si>
    <t>Всего:                       за  2025г.</t>
  </si>
  <si>
    <t xml:space="preserve">Корректировка задолженности </t>
  </si>
  <si>
    <t>Услуга по выкату и перемещению контейнеров с отходами</t>
  </si>
  <si>
    <t xml:space="preserve">       ОТЧЕТ по дому Ударная, 92/1 за период 01.01.2025г. по 31.12.2025г.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</si>
</sst>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topLeftCell="A26" zoomScale="75" workbookViewId="0">
      <selection activeCell="A26" sqref="A1:H1048576"/>
    </sheetView>
  </sheetViews>
  <sheetFormatPr defaultRowHeight="13.2" x14ac:dyDescent="0.25"/>
  <cols>
    <col min="1" max="1" width="58.6640625" customWidth="1"/>
    <col min="2" max="2" width="14.33203125" customWidth="1"/>
    <col min="3" max="3" width="14.109375" customWidth="1"/>
    <col min="4" max="4" width="15.33203125" customWidth="1"/>
    <col min="5" max="6" width="14.109375" customWidth="1"/>
    <col min="7" max="7" width="16.33203125" customWidth="1"/>
    <col min="8" max="8" width="15" customWidth="1"/>
    <col min="9" max="9" width="15.6640625" customWidth="1"/>
    <col min="10" max="13" width="16.5546875" customWidth="1"/>
    <col min="14" max="14" width="15.88671875" customWidth="1"/>
  </cols>
  <sheetData>
    <row r="1" spans="1:20" ht="20.399999999999999" x14ac:dyDescent="0.35">
      <c r="A1" s="22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</row>
    <row r="4" spans="1:20" ht="23.25" customHeight="1" thickBot="1" x14ac:dyDescent="0.3">
      <c r="A4" s="3" t="s">
        <v>14</v>
      </c>
      <c r="B4" s="10">
        <v>-238441.15</v>
      </c>
      <c r="C4" s="10">
        <f t="shared" ref="C4" si="0">B44</f>
        <v>-162538.76734999989</v>
      </c>
      <c r="D4" s="10">
        <f t="shared" ref="D4" si="1">C44</f>
        <v>-238733.25068999987</v>
      </c>
      <c r="E4" s="10">
        <f t="shared" ref="E4" si="2">D44</f>
        <v>-209959.38078999991</v>
      </c>
      <c r="F4" s="10">
        <f>E44</f>
        <v>-206401.71120999992</v>
      </c>
      <c r="G4" s="10">
        <f t="shared" ref="G4" si="3">F44</f>
        <v>-173676.81896999991</v>
      </c>
      <c r="H4" s="10">
        <f t="shared" ref="H4" si="4">G44</f>
        <v>-159263.67798999991</v>
      </c>
      <c r="I4" s="10">
        <f t="shared" ref="I4" si="5">H44</f>
        <v>-155411.01962999994</v>
      </c>
      <c r="J4" s="10">
        <f t="shared" ref="J4" si="6">I44</f>
        <v>-136247.01150999995</v>
      </c>
      <c r="K4" s="10">
        <f>J44</f>
        <v>-205262.43948999999</v>
      </c>
      <c r="L4" s="10">
        <f t="shared" ref="L4:M4" si="7">K44</f>
        <v>-442392.65224999993</v>
      </c>
      <c r="M4" s="10">
        <f t="shared" si="7"/>
        <v>-454217.96698999993</v>
      </c>
      <c r="N4" s="10">
        <f>B4</f>
        <v>-238441.15</v>
      </c>
    </row>
    <row r="5" spans="1:20" ht="21" customHeight="1" thickBot="1" x14ac:dyDescent="0.3">
      <c r="A5" s="3" t="s">
        <v>13</v>
      </c>
      <c r="B5" s="10">
        <v>-840495.57</v>
      </c>
      <c r="C5" s="10">
        <f t="shared" ref="C5:J5" si="8">B46</f>
        <v>-761661.2799999998</v>
      </c>
      <c r="D5" s="10">
        <f t="shared" si="8"/>
        <v>-778402.66999999981</v>
      </c>
      <c r="E5" s="10">
        <f t="shared" si="8"/>
        <v>-733636.48999999976</v>
      </c>
      <c r="F5" s="10">
        <f t="shared" si="8"/>
        <v>-739356.89999999967</v>
      </c>
      <c r="G5" s="10">
        <f t="shared" si="8"/>
        <v>-721045.41999999969</v>
      </c>
      <c r="H5" s="10">
        <f t="shared" si="8"/>
        <v>-709209.60999999964</v>
      </c>
      <c r="I5" s="10">
        <f t="shared" si="8"/>
        <v>-808795.18999999959</v>
      </c>
      <c r="J5" s="10">
        <f t="shared" si="8"/>
        <v>-823906.84999999963</v>
      </c>
      <c r="K5" s="10">
        <f t="shared" ref="K5" si="9">J46</f>
        <v>-820798.51999999955</v>
      </c>
      <c r="L5" s="10">
        <f>K46</f>
        <v>-854390.89999999956</v>
      </c>
      <c r="M5" s="10">
        <f>L46</f>
        <v>-838991.02999999956</v>
      </c>
      <c r="N5" s="10">
        <f>B5</f>
        <v>-840495.57</v>
      </c>
    </row>
    <row r="6" spans="1:20" ht="20.25" customHeight="1" thickBot="1" x14ac:dyDescent="0.3">
      <c r="A6" s="4" t="s">
        <v>12</v>
      </c>
      <c r="B6" s="11">
        <f>SUM(B7:B14)</f>
        <v>202680.04999999996</v>
      </c>
      <c r="C6" s="11">
        <f>SUM(C7:C14)</f>
        <v>229641.33999999997</v>
      </c>
      <c r="D6" s="11">
        <f>SUM(D7:D14)</f>
        <v>226948.19999999998</v>
      </c>
      <c r="E6" s="11">
        <f t="shared" ref="E6:M6" si="10">SUM(E7:E14)</f>
        <v>224166.12</v>
      </c>
      <c r="F6" s="11">
        <f t="shared" si="10"/>
        <v>215131.31</v>
      </c>
      <c r="G6" s="11">
        <f t="shared" si="10"/>
        <v>203138.11999999997</v>
      </c>
      <c r="H6" s="11">
        <f t="shared" si="10"/>
        <v>298726.33999999997</v>
      </c>
      <c r="I6" s="11">
        <f t="shared" si="10"/>
        <v>280852.28000000003</v>
      </c>
      <c r="J6" s="11">
        <f t="shared" si="10"/>
        <v>283029.18</v>
      </c>
      <c r="K6" s="11">
        <f t="shared" si="10"/>
        <v>302302.86</v>
      </c>
      <c r="L6" s="11">
        <f t="shared" si="10"/>
        <v>281652.94</v>
      </c>
      <c r="M6" s="11">
        <f t="shared" si="10"/>
        <v>310437.53000000003</v>
      </c>
      <c r="N6" s="11">
        <f>SUM(B6:M6)</f>
        <v>3058706.2699999996</v>
      </c>
    </row>
    <row r="7" spans="1:20" ht="24.75" customHeight="1" thickBot="1" x14ac:dyDescent="0.3">
      <c r="A7" s="8" t="s">
        <v>30</v>
      </c>
      <c r="B7" s="12">
        <f t="shared" ref="B7:G7" si="11">197452.8+1499.52</f>
        <v>198952.31999999998</v>
      </c>
      <c r="C7" s="12">
        <f t="shared" si="11"/>
        <v>198952.31999999998</v>
      </c>
      <c r="D7" s="12">
        <f t="shared" si="11"/>
        <v>198952.31999999998</v>
      </c>
      <c r="E7" s="12">
        <f t="shared" si="11"/>
        <v>198952.31999999998</v>
      </c>
      <c r="F7" s="12">
        <f t="shared" si="11"/>
        <v>198952.31999999998</v>
      </c>
      <c r="G7" s="12">
        <f t="shared" si="11"/>
        <v>198952.31999999998</v>
      </c>
      <c r="H7" s="12">
        <f t="shared" ref="H7:M7" si="12">232808.1+1499.52</f>
        <v>234307.62</v>
      </c>
      <c r="I7" s="12">
        <f t="shared" si="12"/>
        <v>234307.62</v>
      </c>
      <c r="J7" s="12">
        <f t="shared" si="12"/>
        <v>234307.62</v>
      </c>
      <c r="K7" s="12">
        <f t="shared" si="12"/>
        <v>234307.62</v>
      </c>
      <c r="L7" s="12">
        <f t="shared" si="12"/>
        <v>234307.62</v>
      </c>
      <c r="M7" s="12">
        <f t="shared" si="12"/>
        <v>234307.62</v>
      </c>
      <c r="N7" s="12">
        <f>SUM(B7:M7)</f>
        <v>2599559.6400000006</v>
      </c>
    </row>
    <row r="8" spans="1:20" ht="24.75" customHeight="1" thickBot="1" x14ac:dyDescent="0.3">
      <c r="A8" s="8" t="s">
        <v>15</v>
      </c>
      <c r="B8" s="12">
        <v>375.55</v>
      </c>
      <c r="C8" s="12">
        <v>13012.59</v>
      </c>
      <c r="D8" s="12">
        <v>7829.38</v>
      </c>
      <c r="E8" s="12">
        <v>17252.7</v>
      </c>
      <c r="F8" s="12">
        <v>8108.24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f t="shared" ref="N8:N14" si="13">SUM(B8:M8)</f>
        <v>46578.46</v>
      </c>
    </row>
    <row r="9" spans="1:20" ht="21.75" customHeight="1" thickBot="1" x14ac:dyDescent="0.3">
      <c r="A9" s="8" t="s">
        <v>16</v>
      </c>
      <c r="B9" s="12">
        <v>722.88</v>
      </c>
      <c r="C9" s="12">
        <v>722.88</v>
      </c>
      <c r="D9" s="12">
        <v>722.88</v>
      </c>
      <c r="E9" s="12">
        <v>722.88</v>
      </c>
      <c r="F9" s="12">
        <v>722.88</v>
      </c>
      <c r="G9" s="12">
        <v>722.88</v>
      </c>
      <c r="H9" s="12">
        <v>939.64</v>
      </c>
      <c r="I9" s="12">
        <v>939.64</v>
      </c>
      <c r="J9" s="12">
        <v>939.64</v>
      </c>
      <c r="K9" s="12">
        <v>939.64</v>
      </c>
      <c r="L9" s="12">
        <v>939.64</v>
      </c>
      <c r="M9" s="12">
        <v>939.64</v>
      </c>
      <c r="N9" s="12">
        <f t="shared" si="13"/>
        <v>9975.1200000000008</v>
      </c>
    </row>
    <row r="10" spans="1:20" ht="22.5" customHeight="1" thickBot="1" x14ac:dyDescent="0.3">
      <c r="A10" s="8" t="s">
        <v>17</v>
      </c>
      <c r="B10" s="12">
        <v>0</v>
      </c>
      <c r="C10" s="12">
        <v>13245.72</v>
      </c>
      <c r="D10" s="12">
        <v>14817.68</v>
      </c>
      <c r="E10" s="12">
        <v>3669.25</v>
      </c>
      <c r="F10" s="12">
        <v>4579.7299999999996</v>
      </c>
      <c r="G10" s="12">
        <v>833.62</v>
      </c>
      <c r="H10" s="12">
        <v>17349.78</v>
      </c>
      <c r="I10" s="12">
        <v>0</v>
      </c>
      <c r="J10" s="12">
        <v>1876.9</v>
      </c>
      <c r="K10" s="12">
        <v>21450.58</v>
      </c>
      <c r="L10" s="12">
        <v>800.66</v>
      </c>
      <c r="M10" s="12">
        <v>29585.25</v>
      </c>
      <c r="N10" s="12">
        <f t="shared" si="13"/>
        <v>108209.17000000001</v>
      </c>
    </row>
    <row r="11" spans="1:20" ht="22.5" customHeight="1" thickBot="1" x14ac:dyDescent="0.3">
      <c r="A11" s="8" t="s">
        <v>26</v>
      </c>
      <c r="B11" s="12">
        <v>729.3</v>
      </c>
      <c r="C11" s="12">
        <v>1807.83</v>
      </c>
      <c r="D11" s="12">
        <v>2725.94</v>
      </c>
      <c r="E11" s="12">
        <v>1668.97</v>
      </c>
      <c r="F11" s="12">
        <v>868.14</v>
      </c>
      <c r="G11" s="12">
        <v>729.3</v>
      </c>
      <c r="H11" s="12">
        <v>729.3</v>
      </c>
      <c r="I11" s="12">
        <v>805.02</v>
      </c>
      <c r="J11" s="12">
        <v>805.02</v>
      </c>
      <c r="K11" s="12">
        <v>805.02</v>
      </c>
      <c r="L11" s="12">
        <v>805.02</v>
      </c>
      <c r="M11" s="12">
        <v>805.02</v>
      </c>
      <c r="N11" s="12">
        <f t="shared" si="13"/>
        <v>13283.880000000001</v>
      </c>
    </row>
    <row r="12" spans="1:20" ht="22.5" customHeight="1" thickBot="1" x14ac:dyDescent="0.3">
      <c r="A12" s="8" t="s">
        <v>31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21">
        <v>43500</v>
      </c>
      <c r="I12" s="12">
        <v>42900</v>
      </c>
      <c r="J12" s="12">
        <v>43200</v>
      </c>
      <c r="K12" s="12">
        <v>43200</v>
      </c>
      <c r="L12" s="12">
        <v>43200</v>
      </c>
      <c r="M12" s="12">
        <v>43200</v>
      </c>
      <c r="N12" s="12">
        <f t="shared" si="13"/>
        <v>259200</v>
      </c>
    </row>
    <row r="13" spans="1:20" ht="22.5" hidden="1" customHeight="1" thickBot="1" x14ac:dyDescent="0.3">
      <c r="A13" s="8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>
        <f t="shared" si="13"/>
        <v>0</v>
      </c>
    </row>
    <row r="14" spans="1:20" ht="22.5" customHeight="1" thickBot="1" x14ac:dyDescent="0.3">
      <c r="A14" s="8" t="s">
        <v>24</v>
      </c>
      <c r="B14" s="12">
        <f>1000+900</f>
        <v>1900</v>
      </c>
      <c r="C14" s="12">
        <f t="shared" ref="C14:J14" si="14">1000+900</f>
        <v>1900</v>
      </c>
      <c r="D14" s="12">
        <f t="shared" si="14"/>
        <v>1900</v>
      </c>
      <c r="E14" s="12">
        <f t="shared" si="14"/>
        <v>1900</v>
      </c>
      <c r="F14" s="12">
        <f t="shared" si="14"/>
        <v>1900</v>
      </c>
      <c r="G14" s="12">
        <f t="shared" si="14"/>
        <v>1900</v>
      </c>
      <c r="H14" s="12">
        <f t="shared" si="14"/>
        <v>1900</v>
      </c>
      <c r="I14" s="12">
        <f t="shared" si="14"/>
        <v>1900</v>
      </c>
      <c r="J14" s="12">
        <f t="shared" si="14"/>
        <v>1900</v>
      </c>
      <c r="K14" s="12">
        <v>1600</v>
      </c>
      <c r="L14" s="12">
        <v>1600</v>
      </c>
      <c r="M14" s="12">
        <v>1600</v>
      </c>
      <c r="N14" s="12">
        <f t="shared" si="13"/>
        <v>21900</v>
      </c>
    </row>
    <row r="15" spans="1:20" ht="20.25" customHeight="1" thickBot="1" x14ac:dyDescent="0.3">
      <c r="A15" s="6" t="s">
        <v>8</v>
      </c>
      <c r="B15" s="13">
        <f>SUM(B16:B23)</f>
        <v>281514.34000000008</v>
      </c>
      <c r="C15" s="13">
        <f>SUM(C16:C23)</f>
        <v>212899.95</v>
      </c>
      <c r="D15" s="13">
        <f>SUM(D16:D23)</f>
        <v>224654.22999999998</v>
      </c>
      <c r="E15" s="13">
        <f t="shared" ref="E15:M15" si="15">SUM(E16:E23)</f>
        <v>218445.71000000002</v>
      </c>
      <c r="F15" s="13">
        <f t="shared" si="15"/>
        <v>233442.79000000004</v>
      </c>
      <c r="G15" s="13">
        <f t="shared" si="15"/>
        <v>214973.93000000002</v>
      </c>
      <c r="H15" s="13">
        <f t="shared" si="15"/>
        <v>199140.76</v>
      </c>
      <c r="I15" s="13">
        <f t="shared" si="15"/>
        <v>265740.62</v>
      </c>
      <c r="J15" s="13">
        <f t="shared" si="15"/>
        <v>286137.51</v>
      </c>
      <c r="K15" s="13">
        <f t="shared" si="15"/>
        <v>268710.48000000004</v>
      </c>
      <c r="L15" s="13">
        <f t="shared" si="15"/>
        <v>297052.81</v>
      </c>
      <c r="M15" s="13">
        <f t="shared" si="15"/>
        <v>285568.41000000003</v>
      </c>
      <c r="N15" s="13">
        <f>SUM(B15:M15)</f>
        <v>2988281.54</v>
      </c>
      <c r="T15" s="9"/>
    </row>
    <row r="16" spans="1:20" ht="24" customHeight="1" thickBot="1" x14ac:dyDescent="0.3">
      <c r="A16" s="8" t="s">
        <v>30</v>
      </c>
      <c r="B16" s="12">
        <f>249397.9+90.16+2223.71+5361.57+437.06</f>
        <v>257510.39999999999</v>
      </c>
      <c r="C16" s="12">
        <f>206044.12+35.73+1480.67+524.62+138.65</f>
        <v>208223.79</v>
      </c>
      <c r="D16" s="12">
        <f>197124.07+1547.66+379.8+606.21</f>
        <v>199657.74</v>
      </c>
      <c r="E16" s="12">
        <f>198807.15+1583.88+506.09+604.76</f>
        <v>201501.88</v>
      </c>
      <c r="F16" s="12">
        <f>220783.03+1655.76+1405.79+712.41</f>
        <v>224556.99000000002</v>
      </c>
      <c r="G16" s="12">
        <f>205384.36+1533.89+447.5+531.01</f>
        <v>207896.76</v>
      </c>
      <c r="H16" s="12">
        <f>186440.62+1402.21+433.43</f>
        <v>188276.25999999998</v>
      </c>
      <c r="I16" s="12">
        <f>211964.65+1426.2</f>
        <v>213390.85</v>
      </c>
      <c r="J16" s="12">
        <f>238953.38+1612.33</f>
        <v>240565.71</v>
      </c>
      <c r="K16" s="12">
        <f>223033.64+1457.11</f>
        <v>224490.75</v>
      </c>
      <c r="L16" s="12">
        <f>232781.73+1442.15</f>
        <v>234223.88</v>
      </c>
      <c r="M16" s="12">
        <f>237967.99+1696.49</f>
        <v>239664.47999999998</v>
      </c>
      <c r="N16" s="12">
        <f>SUM(B16:M16)</f>
        <v>2639959.4899999998</v>
      </c>
    </row>
    <row r="17" spans="1:14" ht="26.25" customHeight="1" thickBot="1" x14ac:dyDescent="0.3">
      <c r="A17" s="8" t="s">
        <v>15</v>
      </c>
      <c r="B17" s="12">
        <v>11847.98</v>
      </c>
      <c r="C17" s="12">
        <v>1489.09</v>
      </c>
      <c r="D17" s="12">
        <v>10989.56</v>
      </c>
      <c r="E17" s="12">
        <v>247.35</v>
      </c>
      <c r="F17" s="12">
        <v>536.57000000000005</v>
      </c>
      <c r="G17" s="12">
        <v>172.63</v>
      </c>
      <c r="H17" s="12">
        <v>165.87</v>
      </c>
      <c r="I17" s="12">
        <v>38.549999999999997</v>
      </c>
      <c r="J17" s="12">
        <v>41.51</v>
      </c>
      <c r="K17" s="12">
        <v>59.69</v>
      </c>
      <c r="L17" s="12">
        <v>5.95</v>
      </c>
      <c r="M17" s="12">
        <v>49.06</v>
      </c>
      <c r="N17" s="12">
        <f t="shared" ref="N17:N23" si="16">SUM(B17:M17)</f>
        <v>25643.809999999994</v>
      </c>
    </row>
    <row r="18" spans="1:14" ht="26.25" customHeight="1" thickBot="1" x14ac:dyDescent="0.3">
      <c r="A18" s="8" t="s">
        <v>16</v>
      </c>
      <c r="B18" s="12">
        <v>965.78</v>
      </c>
      <c r="C18" s="12">
        <v>771.12</v>
      </c>
      <c r="D18" s="12">
        <v>731.22</v>
      </c>
      <c r="E18" s="12">
        <v>747.14</v>
      </c>
      <c r="F18" s="12">
        <v>835.54</v>
      </c>
      <c r="G18" s="12">
        <v>757.1</v>
      </c>
      <c r="H18" s="12">
        <v>698.98</v>
      </c>
      <c r="I18" s="12">
        <v>846.38</v>
      </c>
      <c r="J18" s="12">
        <v>961</v>
      </c>
      <c r="K18" s="12">
        <v>895.79</v>
      </c>
      <c r="L18" s="12">
        <v>938.66</v>
      </c>
      <c r="M18" s="12">
        <v>937.92</v>
      </c>
      <c r="N18" s="12">
        <f t="shared" si="16"/>
        <v>10086.629999999999</v>
      </c>
    </row>
    <row r="19" spans="1:14" ht="24" customHeight="1" thickBot="1" x14ac:dyDescent="0.3">
      <c r="A19" s="8" t="s">
        <v>17</v>
      </c>
      <c r="B19" s="14">
        <v>10188.09</v>
      </c>
      <c r="C19" s="15">
        <v>1601.14</v>
      </c>
      <c r="D19" s="15">
        <v>12399.56</v>
      </c>
      <c r="E19" s="15">
        <v>14082.31</v>
      </c>
      <c r="F19" s="15">
        <v>5693.97</v>
      </c>
      <c r="G19" s="15">
        <v>5073.43</v>
      </c>
      <c r="H19" s="12">
        <v>1369.89</v>
      </c>
      <c r="I19" s="12">
        <v>15090.25</v>
      </c>
      <c r="J19" s="12">
        <v>1472.41</v>
      </c>
      <c r="K19" s="12">
        <v>2226.1</v>
      </c>
      <c r="L19" s="12">
        <v>19890.849999999999</v>
      </c>
      <c r="M19" s="12">
        <v>1765.91</v>
      </c>
      <c r="N19" s="12">
        <f t="shared" si="16"/>
        <v>90853.91</v>
      </c>
    </row>
    <row r="20" spans="1:14" ht="24" customHeight="1" thickBot="1" x14ac:dyDescent="0.3">
      <c r="A20" s="8" t="s">
        <v>26</v>
      </c>
      <c r="B20" s="16">
        <v>302.08999999999997</v>
      </c>
      <c r="C20" s="16">
        <v>114.81</v>
      </c>
      <c r="D20" s="16">
        <v>176.15</v>
      </c>
      <c r="E20" s="16">
        <v>1767.03</v>
      </c>
      <c r="F20" s="16">
        <v>1719.72</v>
      </c>
      <c r="G20" s="16">
        <v>974.01</v>
      </c>
      <c r="H20" s="14">
        <v>729.76</v>
      </c>
      <c r="I20" s="15">
        <v>694.26</v>
      </c>
      <c r="J20" s="15">
        <v>846.32</v>
      </c>
      <c r="K20" s="12">
        <v>792.78</v>
      </c>
      <c r="L20" s="12">
        <v>817.77</v>
      </c>
      <c r="M20" s="12">
        <v>814.48</v>
      </c>
      <c r="N20" s="12">
        <f t="shared" si="16"/>
        <v>9749.18</v>
      </c>
    </row>
    <row r="21" spans="1:14" ht="24" customHeight="1" thickBot="1" x14ac:dyDescent="0.3">
      <c r="A21" s="8" t="s">
        <v>31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2">
        <v>0</v>
      </c>
      <c r="I21" s="12">
        <v>32580.33</v>
      </c>
      <c r="J21" s="12">
        <v>41550.559999999998</v>
      </c>
      <c r="K21" s="12">
        <v>39545.370000000003</v>
      </c>
      <c r="L21" s="12">
        <v>40475.699999999997</v>
      </c>
      <c r="M21" s="12">
        <v>37136.559999999998</v>
      </c>
      <c r="N21" s="12">
        <f t="shared" si="16"/>
        <v>191288.52000000002</v>
      </c>
    </row>
    <row r="22" spans="1:14" ht="24" hidden="1" customHeight="1" thickBot="1" x14ac:dyDescent="0.3">
      <c r="A22" s="8" t="s">
        <v>29</v>
      </c>
      <c r="B22" s="14"/>
      <c r="C22" s="14"/>
      <c r="D22" s="14"/>
      <c r="E22" s="14"/>
      <c r="F22" s="14"/>
      <c r="G22" s="14"/>
      <c r="H22" s="14"/>
      <c r="I22" s="12"/>
      <c r="J22" s="12"/>
      <c r="K22" s="12"/>
      <c r="L22" s="12"/>
      <c r="M22" s="12"/>
      <c r="N22" s="12">
        <f t="shared" si="16"/>
        <v>0</v>
      </c>
    </row>
    <row r="23" spans="1:14" ht="24" customHeight="1" thickBot="1" x14ac:dyDescent="0.3">
      <c r="A23" s="8" t="s">
        <v>24</v>
      </c>
      <c r="B23" s="14">
        <v>700</v>
      </c>
      <c r="C23" s="14">
        <v>700</v>
      </c>
      <c r="D23" s="14">
        <v>700</v>
      </c>
      <c r="E23" s="14">
        <v>100</v>
      </c>
      <c r="F23" s="14">
        <v>100</v>
      </c>
      <c r="G23" s="14">
        <v>100</v>
      </c>
      <c r="H23" s="12">
        <v>7900</v>
      </c>
      <c r="I23" s="12">
        <v>3100</v>
      </c>
      <c r="J23" s="12">
        <v>700</v>
      </c>
      <c r="K23" s="12">
        <v>700</v>
      </c>
      <c r="L23" s="12">
        <v>700</v>
      </c>
      <c r="M23" s="12">
        <v>5200</v>
      </c>
      <c r="N23" s="12">
        <f t="shared" si="16"/>
        <v>20700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19.5" customHeight="1" thickBot="1" x14ac:dyDescent="0.3">
      <c r="A25" s="8" t="s">
        <v>1</v>
      </c>
      <c r="B25" s="12">
        <f t="shared" ref="B25:M25" si="17">7891.8*0.6</f>
        <v>4735.08</v>
      </c>
      <c r="C25" s="12">
        <f t="shared" si="17"/>
        <v>4735.08</v>
      </c>
      <c r="D25" s="12">
        <f t="shared" si="17"/>
        <v>4735.08</v>
      </c>
      <c r="E25" s="12">
        <f t="shared" si="17"/>
        <v>4735.08</v>
      </c>
      <c r="F25" s="12">
        <f t="shared" si="17"/>
        <v>4735.08</v>
      </c>
      <c r="G25" s="12">
        <f t="shared" si="17"/>
        <v>4735.08</v>
      </c>
      <c r="H25" s="12">
        <f t="shared" si="17"/>
        <v>4735.08</v>
      </c>
      <c r="I25" s="12">
        <f t="shared" si="17"/>
        <v>4735.08</v>
      </c>
      <c r="J25" s="12">
        <f t="shared" si="17"/>
        <v>4735.08</v>
      </c>
      <c r="K25" s="12">
        <f t="shared" si="17"/>
        <v>4735.08</v>
      </c>
      <c r="L25" s="12">
        <f t="shared" si="17"/>
        <v>4735.08</v>
      </c>
      <c r="M25" s="12">
        <f t="shared" si="17"/>
        <v>4735.08</v>
      </c>
      <c r="N25" s="12">
        <f>SUM(B25:M25)</f>
        <v>56820.960000000014</v>
      </c>
    </row>
    <row r="26" spans="1:14" ht="22.5" customHeight="1" thickBot="1" x14ac:dyDescent="0.3">
      <c r="A26" s="8" t="s">
        <v>2</v>
      </c>
      <c r="B26" s="12">
        <f t="shared" ref="B26" si="18">7891.8*0.17</f>
        <v>1341.6060000000002</v>
      </c>
      <c r="C26" s="12">
        <f>7891.8*0.2</f>
        <v>1578.3600000000001</v>
      </c>
      <c r="D26" s="12">
        <f>7891.8*0.2</f>
        <v>1578.3600000000001</v>
      </c>
      <c r="E26" s="12">
        <f t="shared" ref="E26:M26" si="19">7891.8*0.2</f>
        <v>1578.3600000000001</v>
      </c>
      <c r="F26" s="12">
        <f t="shared" si="19"/>
        <v>1578.3600000000001</v>
      </c>
      <c r="G26" s="12">
        <f t="shared" si="19"/>
        <v>1578.3600000000001</v>
      </c>
      <c r="H26" s="12">
        <f t="shared" si="19"/>
        <v>1578.3600000000001</v>
      </c>
      <c r="I26" s="12">
        <f t="shared" si="19"/>
        <v>1578.3600000000001</v>
      </c>
      <c r="J26" s="12">
        <f t="shared" si="19"/>
        <v>1578.3600000000001</v>
      </c>
      <c r="K26" s="12">
        <f t="shared" si="19"/>
        <v>1578.3600000000001</v>
      </c>
      <c r="L26" s="12">
        <f t="shared" si="19"/>
        <v>1578.3600000000001</v>
      </c>
      <c r="M26" s="12">
        <f t="shared" si="19"/>
        <v>1578.3600000000001</v>
      </c>
      <c r="N26" s="12">
        <f t="shared" ref="N26:N40" si="20">SUM(B26:M26)</f>
        <v>18703.566000000006</v>
      </c>
    </row>
    <row r="27" spans="1:14" ht="21" customHeight="1" thickBot="1" x14ac:dyDescent="0.3">
      <c r="A27" s="8" t="s">
        <v>3</v>
      </c>
      <c r="B27" s="12">
        <f>200780.05*2.3%</f>
        <v>4617.9411499999997</v>
      </c>
      <c r="C27" s="12">
        <f>227741.34*2.6%</f>
        <v>5921.27484</v>
      </c>
      <c r="D27" s="12">
        <f>225048.2*2.6%</f>
        <v>5851.253200000001</v>
      </c>
      <c r="E27" s="12">
        <f>222266.12*2.6%</f>
        <v>5778.9191200000005</v>
      </c>
      <c r="F27" s="12">
        <f>213231.31*2.6%</f>
        <v>5544.0140600000004</v>
      </c>
      <c r="G27" s="12">
        <f>201238.12*2.6%</f>
        <v>5232.1911200000004</v>
      </c>
      <c r="H27" s="12">
        <f>296826.34*2.6%</f>
        <v>7717.484840000001</v>
      </c>
      <c r="I27" s="12">
        <f>278952.28*2.6%</f>
        <v>7252.7592800000011</v>
      </c>
      <c r="J27" s="12">
        <f>281129.18*2.6%</f>
        <v>7309.3586800000003</v>
      </c>
      <c r="K27" s="12">
        <f>300702.86*2.6%</f>
        <v>7818.2743600000003</v>
      </c>
      <c r="L27" s="12">
        <f>280052.94*2.6%</f>
        <v>7281.3764400000009</v>
      </c>
      <c r="M27" s="12">
        <f>308837.53*2.6%</f>
        <v>8029.7757800000018</v>
      </c>
      <c r="N27" s="12">
        <f t="shared" si="20"/>
        <v>78354.622870000007</v>
      </c>
    </row>
    <row r="28" spans="1:14" ht="23.25" customHeight="1" thickBot="1" x14ac:dyDescent="0.3">
      <c r="A28" s="8" t="s">
        <v>4</v>
      </c>
      <c r="B28" s="20">
        <f>280814.34*3%</f>
        <v>8424.4302000000007</v>
      </c>
      <c r="C28" s="12">
        <f>212199.95*3%</f>
        <v>6365.9984999999997</v>
      </c>
      <c r="D28" s="19">
        <f>223954.23*3%</f>
        <v>6718.6269000000002</v>
      </c>
      <c r="E28" s="20">
        <f>218345.71*3%</f>
        <v>6550.3712999999998</v>
      </c>
      <c r="F28" s="20">
        <f>233342.79*3%</f>
        <v>7000.2837</v>
      </c>
      <c r="G28" s="20">
        <f>214873.93*3%</f>
        <v>6446.2178999999996</v>
      </c>
      <c r="H28" s="20">
        <f>191240.76*3%</f>
        <v>5737.2228000000005</v>
      </c>
      <c r="I28" s="20">
        <f>262640.62*3%</f>
        <v>7879.2185999999992</v>
      </c>
      <c r="J28" s="20">
        <f>285437.51*3%</f>
        <v>8563.1252999999997</v>
      </c>
      <c r="K28" s="20">
        <f>268010.48*3%</f>
        <v>8040.3143999999993</v>
      </c>
      <c r="L28" s="20">
        <f>296352.81*3%</f>
        <v>8890.5843000000004</v>
      </c>
      <c r="M28" s="20">
        <f>280368.41*3%</f>
        <v>8411.0522999999994</v>
      </c>
      <c r="N28" s="12">
        <f t="shared" si="20"/>
        <v>89027.446199999991</v>
      </c>
    </row>
    <row r="29" spans="1:14" ht="23.25" customHeight="1" thickBot="1" x14ac:dyDescent="0.3">
      <c r="A29" s="8" t="s">
        <v>9</v>
      </c>
      <c r="B29" s="21">
        <f>7891.8*10.8</f>
        <v>85231.44</v>
      </c>
      <c r="C29" s="21">
        <f t="shared" ref="C29:M29" si="21">7891.8*10.8</f>
        <v>85231.44</v>
      </c>
      <c r="D29" s="21">
        <f t="shared" si="21"/>
        <v>85231.44</v>
      </c>
      <c r="E29" s="21">
        <f t="shared" si="21"/>
        <v>85231.44</v>
      </c>
      <c r="F29" s="21">
        <f t="shared" si="21"/>
        <v>85231.44</v>
      </c>
      <c r="G29" s="21">
        <f t="shared" si="21"/>
        <v>85231.44</v>
      </c>
      <c r="H29" s="21">
        <f t="shared" si="21"/>
        <v>85231.44</v>
      </c>
      <c r="I29" s="21">
        <f t="shared" si="21"/>
        <v>85231.44</v>
      </c>
      <c r="J29" s="21">
        <f t="shared" si="21"/>
        <v>85231.44</v>
      </c>
      <c r="K29" s="21">
        <f t="shared" si="21"/>
        <v>85231.44</v>
      </c>
      <c r="L29" s="21">
        <f t="shared" si="21"/>
        <v>85231.44</v>
      </c>
      <c r="M29" s="21">
        <f t="shared" si="21"/>
        <v>85231.44</v>
      </c>
      <c r="N29" s="12">
        <f t="shared" si="20"/>
        <v>1022777.2799999998</v>
      </c>
    </row>
    <row r="30" spans="1:14" ht="26.25" customHeight="1" thickBot="1" x14ac:dyDescent="0.3">
      <c r="A30" s="8" t="s">
        <v>18</v>
      </c>
      <c r="B30" s="12">
        <f>11735.14+1277.4</f>
        <v>13012.539999999999</v>
      </c>
      <c r="C30" s="12">
        <f>7060.74+768.6</f>
        <v>7829.34</v>
      </c>
      <c r="D30" s="12">
        <f>15559.11+1693.72</f>
        <v>17252.830000000002</v>
      </c>
      <c r="E30" s="12">
        <f>7312.22+795.98</f>
        <v>8108.2000000000007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f t="shared" si="20"/>
        <v>46202.91</v>
      </c>
    </row>
    <row r="31" spans="1:14" ht="26.25" customHeight="1" thickBot="1" x14ac:dyDescent="0.3">
      <c r="A31" s="8" t="s">
        <v>19</v>
      </c>
      <c r="B31" s="12">
        <v>1084.21</v>
      </c>
      <c r="C31" s="12">
        <v>1084.21</v>
      </c>
      <c r="D31" s="12">
        <v>1084.21</v>
      </c>
      <c r="E31" s="12">
        <v>1084.21</v>
      </c>
      <c r="F31" s="12">
        <v>1084.21</v>
      </c>
      <c r="G31" s="12">
        <v>1084.21</v>
      </c>
      <c r="H31" s="12">
        <v>1409.52</v>
      </c>
      <c r="I31" s="12">
        <v>1409.52</v>
      </c>
      <c r="J31" s="12">
        <v>1409.52</v>
      </c>
      <c r="K31" s="12">
        <v>1409.52</v>
      </c>
      <c r="L31" s="12">
        <v>1409.52</v>
      </c>
      <c r="M31" s="12">
        <v>1409.52</v>
      </c>
      <c r="N31" s="12">
        <f t="shared" si="20"/>
        <v>14962.380000000003</v>
      </c>
    </row>
    <row r="32" spans="1:14" ht="26.25" customHeight="1" thickBot="1" x14ac:dyDescent="0.3">
      <c r="A32" s="8" t="s">
        <v>20</v>
      </c>
      <c r="B32" s="12">
        <v>13245.71</v>
      </c>
      <c r="C32" s="12">
        <v>14817.62</v>
      </c>
      <c r="D32" s="12">
        <v>3669.3</v>
      </c>
      <c r="E32" s="12">
        <v>4579.83</v>
      </c>
      <c r="F32" s="12">
        <v>833.52</v>
      </c>
      <c r="G32" s="12">
        <v>17349.900000000001</v>
      </c>
      <c r="H32" s="12">
        <v>0</v>
      </c>
      <c r="I32" s="12">
        <v>1876.8</v>
      </c>
      <c r="J32" s="12">
        <v>21450.59</v>
      </c>
      <c r="K32" s="12">
        <v>800.69</v>
      </c>
      <c r="L32" s="12">
        <v>29585.1</v>
      </c>
      <c r="M32" s="12">
        <v>6905.4</v>
      </c>
      <c r="N32" s="12">
        <f t="shared" si="20"/>
        <v>115114.45999999999</v>
      </c>
    </row>
    <row r="33" spans="1:14" ht="23.25" customHeight="1" thickBot="1" x14ac:dyDescent="0.3">
      <c r="A33" s="8" t="s">
        <v>26</v>
      </c>
      <c r="B33" s="12">
        <f>729.26+1078.79</f>
        <v>1808.05</v>
      </c>
      <c r="C33" s="12">
        <f>729.26+1996.85</f>
        <v>2726.1099999999997</v>
      </c>
      <c r="D33" s="12">
        <f>729.26+939.85</f>
        <v>1669.1100000000001</v>
      </c>
      <c r="E33" s="12">
        <f>729.26+138.94</f>
        <v>868.2</v>
      </c>
      <c r="F33" s="12">
        <f>729.26+0</f>
        <v>729.26</v>
      </c>
      <c r="G33" s="12">
        <f>729.26+0</f>
        <v>729.26</v>
      </c>
      <c r="H33" s="12">
        <f>804.84+0</f>
        <v>804.84</v>
      </c>
      <c r="I33" s="12">
        <f t="shared" ref="I33:M33" si="22">804.84+0</f>
        <v>804.84</v>
      </c>
      <c r="J33" s="12">
        <f t="shared" si="22"/>
        <v>804.84</v>
      </c>
      <c r="K33" s="12">
        <f t="shared" si="22"/>
        <v>804.84</v>
      </c>
      <c r="L33" s="12">
        <f t="shared" si="22"/>
        <v>804.84</v>
      </c>
      <c r="M33" s="12">
        <f t="shared" si="22"/>
        <v>804.84</v>
      </c>
      <c r="N33" s="12">
        <f t="shared" si="20"/>
        <v>13359.03</v>
      </c>
    </row>
    <row r="34" spans="1:14" ht="22.5" customHeight="1" thickBot="1" x14ac:dyDescent="0.3">
      <c r="A34" s="8" t="s">
        <v>6</v>
      </c>
      <c r="B34" s="12">
        <f t="shared" ref="B34:G34" si="23">7891.8*3.75</f>
        <v>29594.25</v>
      </c>
      <c r="C34" s="12">
        <f t="shared" si="23"/>
        <v>29594.25</v>
      </c>
      <c r="D34" s="12">
        <f t="shared" si="23"/>
        <v>29594.25</v>
      </c>
      <c r="E34" s="12">
        <f t="shared" si="23"/>
        <v>29594.25</v>
      </c>
      <c r="F34" s="12">
        <f t="shared" si="23"/>
        <v>29594.25</v>
      </c>
      <c r="G34" s="12">
        <f t="shared" si="23"/>
        <v>29594.25</v>
      </c>
      <c r="H34" s="12">
        <f>7891.8*4.43</f>
        <v>34960.673999999999</v>
      </c>
      <c r="I34" s="12">
        <f t="shared" ref="I34:M34" si="24">7891.8*4.43</f>
        <v>34960.673999999999</v>
      </c>
      <c r="J34" s="12">
        <f t="shared" si="24"/>
        <v>34960.673999999999</v>
      </c>
      <c r="K34" s="12">
        <f t="shared" si="24"/>
        <v>34960.673999999999</v>
      </c>
      <c r="L34" s="12">
        <f t="shared" si="24"/>
        <v>34960.673999999999</v>
      </c>
      <c r="M34" s="12">
        <f t="shared" si="24"/>
        <v>34960.673999999999</v>
      </c>
      <c r="N34" s="12">
        <f t="shared" si="20"/>
        <v>387329.54399999999</v>
      </c>
    </row>
    <row r="35" spans="1:14" ht="22.5" customHeight="1" thickBot="1" x14ac:dyDescent="0.3">
      <c r="A35" s="8" t="s">
        <v>25</v>
      </c>
      <c r="B35" s="12">
        <f>7306.7*4</f>
        <v>29226.799999999999</v>
      </c>
      <c r="C35" s="12">
        <f>7306.7*4</f>
        <v>29226.799999999999</v>
      </c>
      <c r="D35" s="12">
        <f>7306.7*4</f>
        <v>29226.799999999999</v>
      </c>
      <c r="E35" s="12">
        <f t="shared" ref="E35:M35" si="25">8775.87*4</f>
        <v>35103.480000000003</v>
      </c>
      <c r="F35" s="12">
        <f t="shared" si="25"/>
        <v>35103.480000000003</v>
      </c>
      <c r="G35" s="12">
        <f t="shared" si="25"/>
        <v>35103.480000000003</v>
      </c>
      <c r="H35" s="12">
        <f t="shared" si="25"/>
        <v>35103.480000000003</v>
      </c>
      <c r="I35" s="12">
        <f t="shared" si="25"/>
        <v>35103.480000000003</v>
      </c>
      <c r="J35" s="12">
        <f t="shared" si="25"/>
        <v>35103.480000000003</v>
      </c>
      <c r="K35" s="12">
        <f t="shared" si="25"/>
        <v>35103.480000000003</v>
      </c>
      <c r="L35" s="12">
        <f t="shared" si="25"/>
        <v>35103.480000000003</v>
      </c>
      <c r="M35" s="12">
        <f t="shared" si="25"/>
        <v>35103.480000000003</v>
      </c>
      <c r="N35" s="12">
        <f t="shared" si="20"/>
        <v>403611.72</v>
      </c>
    </row>
    <row r="36" spans="1:14" ht="22.5" customHeight="1" thickBot="1" x14ac:dyDescent="0.3">
      <c r="A36" s="8" t="s">
        <v>28</v>
      </c>
      <c r="B36" s="12">
        <v>0</v>
      </c>
      <c r="C36" s="12">
        <v>0</v>
      </c>
      <c r="D36" s="12">
        <v>0</v>
      </c>
      <c r="E36" s="12">
        <v>0</v>
      </c>
      <c r="F36" s="12">
        <f>3900*4</f>
        <v>15600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f t="shared" si="20"/>
        <v>15600</v>
      </c>
    </row>
    <row r="37" spans="1:14" ht="22.5" customHeight="1" thickBot="1" x14ac:dyDescent="0.3">
      <c r="A37" s="8" t="s">
        <v>47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7200</v>
      </c>
      <c r="H37" s="12">
        <v>7200</v>
      </c>
      <c r="I37" s="12">
        <v>7200</v>
      </c>
      <c r="J37" s="12">
        <v>7200</v>
      </c>
      <c r="K37" s="12">
        <v>7200</v>
      </c>
      <c r="L37" s="12">
        <v>7200</v>
      </c>
      <c r="M37" s="12">
        <v>7200</v>
      </c>
      <c r="N37" s="12">
        <f t="shared" si="20"/>
        <v>50400</v>
      </c>
    </row>
    <row r="38" spans="1:14" ht="21.75" customHeight="1" thickBot="1" x14ac:dyDescent="0.3">
      <c r="A38" s="8" t="s">
        <v>31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839.44</v>
      </c>
      <c r="J38" s="12">
        <v>29183.77</v>
      </c>
      <c r="K38" s="12">
        <v>36148.559999999998</v>
      </c>
      <c r="L38" s="12">
        <v>34404.370000000003</v>
      </c>
      <c r="M38" s="12">
        <v>35213.699999999997</v>
      </c>
      <c r="N38" s="12">
        <f t="shared" si="20"/>
        <v>135789.83999999997</v>
      </c>
    </row>
    <row r="39" spans="1:14" ht="21.75" customHeight="1" thickBot="1" x14ac:dyDescent="0.3">
      <c r="A39" s="8" t="s">
        <v>32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125</v>
      </c>
      <c r="J39" s="12">
        <v>4361</v>
      </c>
      <c r="K39" s="12">
        <v>5402</v>
      </c>
      <c r="L39" s="12">
        <v>5141</v>
      </c>
      <c r="M39" s="12">
        <v>5262</v>
      </c>
      <c r="N39" s="12">
        <f t="shared" si="20"/>
        <v>20291</v>
      </c>
    </row>
    <row r="40" spans="1:14" ht="24.75" customHeight="1" thickBot="1" x14ac:dyDescent="0.3">
      <c r="A40" s="8" t="s">
        <v>23</v>
      </c>
      <c r="B40" s="12">
        <f>1000</f>
        <v>1000</v>
      </c>
      <c r="C40" s="12">
        <f>1000</f>
        <v>1000</v>
      </c>
      <c r="D40" s="12">
        <f>1000</f>
        <v>1000</v>
      </c>
      <c r="E40" s="12">
        <f>1000</f>
        <v>1000</v>
      </c>
      <c r="F40" s="12">
        <f>1000</f>
        <v>1000</v>
      </c>
      <c r="G40" s="12">
        <f>1000</f>
        <v>1000</v>
      </c>
      <c r="H40" s="12">
        <f>1000</f>
        <v>1000</v>
      </c>
      <c r="I40" s="12">
        <f>1000</f>
        <v>1000</v>
      </c>
      <c r="J40" s="12">
        <f>1000</f>
        <v>1000</v>
      </c>
      <c r="K40" s="12">
        <f>1000</f>
        <v>1000</v>
      </c>
      <c r="L40" s="12">
        <f>1000</f>
        <v>1000</v>
      </c>
      <c r="M40" s="12">
        <f>1000</f>
        <v>1000</v>
      </c>
      <c r="N40" s="12">
        <f t="shared" si="20"/>
        <v>12000</v>
      </c>
    </row>
    <row r="41" spans="1:14" ht="24" customHeight="1" thickBot="1" x14ac:dyDescent="0.3">
      <c r="A41" s="8" t="s">
        <v>10</v>
      </c>
      <c r="B41" s="12">
        <f>9919.2+2370.7</f>
        <v>12289.900000000001</v>
      </c>
      <c r="C41" s="12">
        <f>585.9+734.1+96623.95+1040</f>
        <v>98983.95</v>
      </c>
      <c r="D41" s="12">
        <f>3342.7+4926.4</f>
        <v>8269.0999999999985</v>
      </c>
      <c r="E41" s="12">
        <f>2874.8+2135.9+25665</f>
        <v>30675.7</v>
      </c>
      <c r="F41" s="12">
        <f>105+9239+3340</f>
        <v>12684</v>
      </c>
      <c r="G41" s="21">
        <f>105+5171.4</f>
        <v>5276.4</v>
      </c>
      <c r="H41" s="12">
        <f>4100.8+5109.2+600</f>
        <v>9810</v>
      </c>
      <c r="I41" s="12">
        <f>4168.2+52411.8</f>
        <v>56580</v>
      </c>
      <c r="J41" s="12">
        <f>57000+20438.1+5990.5+3363.7+25469.4</f>
        <v>112261.70000000001</v>
      </c>
      <c r="K41" s="12">
        <f>2846.3+2099.6+47369.1+125+125+223042.46</f>
        <v>275607.45999999996</v>
      </c>
      <c r="L41" s="12">
        <f>27648+19000+1671.3+145+125+2963</f>
        <v>51552.3</v>
      </c>
      <c r="M41" s="12">
        <f>2229.5+2963+10196.3+105</f>
        <v>15493.8</v>
      </c>
      <c r="N41" s="12">
        <f>SUM(B41:M41)</f>
        <v>689484.31</v>
      </c>
    </row>
    <row r="42" spans="1:14" ht="22.5" customHeight="1" thickBot="1" x14ac:dyDescent="0.3">
      <c r="A42" s="4" t="s">
        <v>21</v>
      </c>
      <c r="B42" s="11">
        <f t="shared" ref="B42:M42" si="26">SUM(B25:B41)</f>
        <v>205611.95734999998</v>
      </c>
      <c r="C42" s="11">
        <f t="shared" si="26"/>
        <v>289094.43333999999</v>
      </c>
      <c r="D42" s="11">
        <f t="shared" si="26"/>
        <v>195880.36010000002</v>
      </c>
      <c r="E42" s="11">
        <f t="shared" si="26"/>
        <v>214888.04042000003</v>
      </c>
      <c r="F42" s="11">
        <f t="shared" si="26"/>
        <v>200717.89776000002</v>
      </c>
      <c r="G42" s="11">
        <f t="shared" si="26"/>
        <v>200560.78902000003</v>
      </c>
      <c r="H42" s="11">
        <f t="shared" si="26"/>
        <v>195288.10164000004</v>
      </c>
      <c r="I42" s="11">
        <f t="shared" si="26"/>
        <v>246576.61188000001</v>
      </c>
      <c r="J42" s="11">
        <f t="shared" si="26"/>
        <v>355152.93798000005</v>
      </c>
      <c r="K42" s="11">
        <f t="shared" si="26"/>
        <v>505840.69276000001</v>
      </c>
      <c r="L42" s="11">
        <f t="shared" si="26"/>
        <v>308878.12474</v>
      </c>
      <c r="M42" s="11">
        <f t="shared" si="26"/>
        <v>251339.12208</v>
      </c>
      <c r="N42" s="11">
        <f>SUM(B42:M42)</f>
        <v>3169829.0690700002</v>
      </c>
    </row>
    <row r="43" spans="1:14" ht="23.25" customHeight="1" thickBot="1" x14ac:dyDescent="0.3">
      <c r="A43" s="5" t="s">
        <v>5</v>
      </c>
      <c r="B43" s="16">
        <f t="shared" ref="B43:N43" si="27">B15-B42</f>
        <v>75902.382650000101</v>
      </c>
      <c r="C43" s="16">
        <f t="shared" si="27"/>
        <v>-76194.483339999977</v>
      </c>
      <c r="D43" s="16">
        <f t="shared" si="27"/>
        <v>28773.869899999961</v>
      </c>
      <c r="E43" s="16">
        <f t="shared" si="27"/>
        <v>3557.669579999987</v>
      </c>
      <c r="F43" s="16">
        <f t="shared" si="27"/>
        <v>32724.892240000016</v>
      </c>
      <c r="G43" s="16">
        <f t="shared" si="27"/>
        <v>14413.140979999996</v>
      </c>
      <c r="H43" s="16">
        <f t="shared" si="27"/>
        <v>3852.6583599999722</v>
      </c>
      <c r="I43" s="16">
        <f t="shared" si="27"/>
        <v>19164.008119999984</v>
      </c>
      <c r="J43" s="16">
        <f t="shared" si="27"/>
        <v>-69015.427980000037</v>
      </c>
      <c r="K43" s="16">
        <f t="shared" si="27"/>
        <v>-237130.21275999997</v>
      </c>
      <c r="L43" s="16">
        <f t="shared" si="27"/>
        <v>-11825.314740000002</v>
      </c>
      <c r="M43" s="16">
        <f t="shared" si="27"/>
        <v>34229.287920000032</v>
      </c>
      <c r="N43" s="16">
        <f t="shared" si="27"/>
        <v>-181547.52907000016</v>
      </c>
    </row>
    <row r="44" spans="1:14" ht="23.25" customHeight="1" thickBot="1" x14ac:dyDescent="0.3">
      <c r="A44" s="5" t="s">
        <v>7</v>
      </c>
      <c r="B44" s="14">
        <f t="shared" ref="B44:N44" si="28">B4+B43</f>
        <v>-162538.76734999989</v>
      </c>
      <c r="C44" s="14">
        <f t="shared" si="28"/>
        <v>-238733.25068999987</v>
      </c>
      <c r="D44" s="14">
        <f t="shared" si="28"/>
        <v>-209959.38078999991</v>
      </c>
      <c r="E44" s="14">
        <f t="shared" si="28"/>
        <v>-206401.71120999992</v>
      </c>
      <c r="F44" s="14">
        <f t="shared" si="28"/>
        <v>-173676.81896999991</v>
      </c>
      <c r="G44" s="14">
        <f t="shared" si="28"/>
        <v>-159263.67798999991</v>
      </c>
      <c r="H44" s="14">
        <f t="shared" si="28"/>
        <v>-155411.01962999994</v>
      </c>
      <c r="I44" s="14">
        <f t="shared" si="28"/>
        <v>-136247.01150999995</v>
      </c>
      <c r="J44" s="14">
        <f t="shared" si="28"/>
        <v>-205262.43948999999</v>
      </c>
      <c r="K44" s="14">
        <f t="shared" si="28"/>
        <v>-442392.65224999993</v>
      </c>
      <c r="L44" s="14">
        <f t="shared" si="28"/>
        <v>-454217.96698999993</v>
      </c>
      <c r="M44" s="14">
        <f t="shared" si="28"/>
        <v>-419988.6790699999</v>
      </c>
      <c r="N44" s="14">
        <f t="shared" si="28"/>
        <v>-419988.67907000019</v>
      </c>
    </row>
    <row r="45" spans="1:14" ht="23.25" customHeight="1" thickBot="1" x14ac:dyDescent="0.3">
      <c r="A45" s="5" t="s">
        <v>46</v>
      </c>
      <c r="B45" s="12">
        <v>0</v>
      </c>
      <c r="C45" s="12">
        <v>0</v>
      </c>
      <c r="D45" s="12">
        <v>47060.15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f>SUM(B45:M45)</f>
        <v>47060.15</v>
      </c>
    </row>
    <row r="46" spans="1:14" ht="27" customHeight="1" thickBot="1" x14ac:dyDescent="0.3">
      <c r="A46" s="7" t="s">
        <v>11</v>
      </c>
      <c r="B46" s="18">
        <f>B5+B15-B6</f>
        <v>-761661.2799999998</v>
      </c>
      <c r="C46" s="18">
        <f>C5+C15-C6</f>
        <v>-778402.66999999981</v>
      </c>
      <c r="D46" s="18">
        <f>D5+D15-D6+D45</f>
        <v>-733636.48999999976</v>
      </c>
      <c r="E46" s="18">
        <f t="shared" ref="E46:N46" si="29">E5+E15-E6+E45</f>
        <v>-739356.89999999967</v>
      </c>
      <c r="F46" s="18">
        <f t="shared" si="29"/>
        <v>-721045.41999999969</v>
      </c>
      <c r="G46" s="18">
        <f t="shared" si="29"/>
        <v>-709209.60999999964</v>
      </c>
      <c r="H46" s="18">
        <f t="shared" si="29"/>
        <v>-808795.18999999959</v>
      </c>
      <c r="I46" s="18">
        <f t="shared" si="29"/>
        <v>-823906.84999999963</v>
      </c>
      <c r="J46" s="18">
        <f t="shared" si="29"/>
        <v>-820798.51999999955</v>
      </c>
      <c r="K46" s="18">
        <f t="shared" si="29"/>
        <v>-854390.89999999956</v>
      </c>
      <c r="L46" s="18">
        <f t="shared" si="29"/>
        <v>-838991.02999999956</v>
      </c>
      <c r="M46" s="18">
        <f t="shared" si="29"/>
        <v>-863860.14999999956</v>
      </c>
      <c r="N46" s="18">
        <f t="shared" si="29"/>
        <v>-863860.14999999932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2026-02-12T07:23:21Z</cp:lastPrinted>
  <dcterms:created xsi:type="dcterms:W3CDTF">2011-06-06T03:25:48Z</dcterms:created>
  <dcterms:modified xsi:type="dcterms:W3CDTF">2026-02-12T07:30:07Z</dcterms:modified>
</cp:coreProperties>
</file>