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96" windowWidth="16152" windowHeight="10992"/>
  </bookViews>
  <sheets>
    <sheet name="2025" sheetId="1" r:id="rId1"/>
  </sheets>
  <calcPr calcId="144525" refMode="R1C1"/>
</workbook>
</file>

<file path=xl/calcChain.xml><?xml version="1.0" encoding="utf-8"?>
<calcChain xmlns="http://schemas.openxmlformats.org/spreadsheetml/2006/main">
  <c r="M41" i="1" l="1"/>
  <c r="M40" i="1" l="1"/>
  <c r="L40" i="1"/>
  <c r="K40" i="1"/>
  <c r="L41" i="1" l="1"/>
  <c r="K41" i="1" l="1"/>
  <c r="K33" i="1" l="1"/>
  <c r="L33" i="1"/>
  <c r="M33" i="1"/>
  <c r="M28" i="1" l="1"/>
  <c r="M27" i="1"/>
  <c r="L28" i="1" l="1"/>
  <c r="L27" i="1"/>
  <c r="K28" i="1" l="1"/>
  <c r="K27" i="1"/>
  <c r="M35" i="1" l="1"/>
  <c r="K35" i="1"/>
  <c r="L35" i="1"/>
  <c r="K34" i="1"/>
  <c r="L34" i="1"/>
  <c r="M34" i="1"/>
  <c r="K29" i="1"/>
  <c r="L29" i="1"/>
  <c r="M29" i="1"/>
  <c r="K26" i="1"/>
  <c r="L26" i="1"/>
  <c r="M26" i="1"/>
  <c r="K25" i="1"/>
  <c r="L25" i="1"/>
  <c r="M25" i="1"/>
  <c r="I33" i="1" l="1"/>
  <c r="J33" i="1"/>
  <c r="H33" i="1"/>
  <c r="I41" i="1" l="1"/>
  <c r="J40" i="1"/>
  <c r="I40" i="1"/>
  <c r="H40" i="1"/>
  <c r="J35" i="1"/>
  <c r="I35" i="1"/>
  <c r="H35" i="1"/>
  <c r="N37" i="1" l="1"/>
  <c r="J28" i="1" l="1"/>
  <c r="J27" i="1"/>
  <c r="I28" i="1" l="1"/>
  <c r="I27" i="1"/>
  <c r="H28" i="1" l="1"/>
  <c r="H16" i="1"/>
  <c r="H27" i="1"/>
  <c r="I34" i="1" l="1"/>
  <c r="J34" i="1"/>
  <c r="H34" i="1"/>
  <c r="H29" i="1" l="1"/>
  <c r="I29" i="1"/>
  <c r="J29" i="1"/>
  <c r="H26" i="1"/>
  <c r="I26" i="1"/>
  <c r="J26" i="1"/>
  <c r="H25" i="1"/>
  <c r="I25" i="1"/>
  <c r="J25" i="1"/>
  <c r="H41" i="1" l="1"/>
  <c r="F41" i="1" l="1"/>
  <c r="E40" i="1"/>
  <c r="F40" i="1"/>
  <c r="G40" i="1"/>
  <c r="G35" i="1" l="1"/>
  <c r="F35" i="1"/>
  <c r="E35" i="1"/>
  <c r="E33" i="1" l="1"/>
  <c r="F33" i="1"/>
  <c r="G33" i="1"/>
  <c r="G41" i="1" l="1"/>
  <c r="E41" i="1" l="1"/>
  <c r="G28" i="1" l="1"/>
  <c r="G16" i="1"/>
  <c r="G27" i="1"/>
  <c r="F28" i="1" l="1"/>
  <c r="F16" i="1"/>
  <c r="F27" i="1"/>
  <c r="E28" i="1" l="1"/>
  <c r="E27" i="1"/>
  <c r="E34" i="1" l="1"/>
  <c r="F34" i="1"/>
  <c r="G34" i="1"/>
  <c r="E29" i="1"/>
  <c r="F29" i="1"/>
  <c r="G29" i="1"/>
  <c r="E26" i="1"/>
  <c r="F26" i="1"/>
  <c r="G26" i="1"/>
  <c r="E25" i="1"/>
  <c r="F25" i="1"/>
  <c r="G25" i="1"/>
  <c r="C33" i="1" l="1"/>
  <c r="D33" i="1"/>
  <c r="B33" i="1"/>
  <c r="C41" i="1" l="1"/>
  <c r="D35" i="1"/>
  <c r="C35" i="1"/>
  <c r="D40" i="1" l="1"/>
  <c r="C40" i="1"/>
  <c r="B40" i="1"/>
  <c r="D27" i="1" l="1"/>
  <c r="C29" i="1" l="1"/>
  <c r="D29" i="1"/>
  <c r="B29" i="1"/>
  <c r="C27" i="1"/>
  <c r="D26" i="1"/>
  <c r="C26" i="1"/>
  <c r="D28" i="1" l="1"/>
  <c r="C28" i="1" l="1"/>
  <c r="C34" i="1" l="1"/>
  <c r="D34" i="1"/>
  <c r="C25" i="1"/>
  <c r="D25" i="1"/>
  <c r="B28" i="1"/>
  <c r="B27" i="1"/>
  <c r="B35" i="1" l="1"/>
  <c r="B34" i="1"/>
  <c r="B26" i="1"/>
  <c r="B25" i="1"/>
  <c r="N39" i="1" l="1"/>
  <c r="N8" i="1" l="1"/>
  <c r="N17" i="1"/>
  <c r="N18" i="1" l="1"/>
  <c r="N19" i="1"/>
  <c r="N20" i="1"/>
  <c r="N21" i="1"/>
  <c r="N22" i="1"/>
  <c r="N23" i="1"/>
  <c r="N31" i="1"/>
  <c r="N32" i="1"/>
  <c r="N33" i="1"/>
  <c r="N35" i="1"/>
  <c r="N36" i="1"/>
  <c r="N38" i="1"/>
  <c r="N40" i="1"/>
  <c r="N30" i="1"/>
  <c r="N9" i="1" l="1"/>
  <c r="N10" i="1"/>
  <c r="N11" i="1"/>
  <c r="N12" i="1"/>
  <c r="N13" i="1"/>
  <c r="N14" i="1"/>
  <c r="N41" i="1" l="1"/>
  <c r="N29" i="1" l="1"/>
  <c r="N28" i="1" l="1"/>
  <c r="N16" i="1"/>
  <c r="N27" i="1"/>
  <c r="N7" i="1"/>
  <c r="N5" i="1" l="1"/>
  <c r="N4" i="1"/>
  <c r="C15" i="1" l="1"/>
  <c r="C42" i="1" s="1"/>
  <c r="C43" i="1" s="1"/>
  <c r="D15" i="1"/>
  <c r="D42" i="1" s="1"/>
  <c r="D43" i="1" s="1"/>
  <c r="B15" i="1"/>
  <c r="C6" i="1"/>
  <c r="D6" i="1"/>
  <c r="B6" i="1"/>
  <c r="N34" i="1"/>
  <c r="N26" i="1"/>
  <c r="B45" i="1" l="1"/>
  <c r="C5" i="1" s="1"/>
  <c r="B42" i="1"/>
  <c r="B43" i="1" s="1"/>
  <c r="B44" i="1" s="1"/>
  <c r="C4" i="1" s="1"/>
  <c r="C44" i="1" s="1"/>
  <c r="D4" i="1" s="1"/>
  <c r="C45" i="1" l="1"/>
  <c r="D5" i="1" s="1"/>
  <c r="D45" i="1" s="1"/>
  <c r="E5" i="1" s="1"/>
  <c r="D44" i="1"/>
  <c r="E4" i="1" s="1"/>
  <c r="E15" i="1" l="1"/>
  <c r="F6" i="1"/>
  <c r="G6" i="1"/>
  <c r="E6" i="1"/>
  <c r="E42" i="1" l="1"/>
  <c r="E45" i="1"/>
  <c r="F5" i="1" s="1"/>
  <c r="F15" i="1"/>
  <c r="G15" i="1"/>
  <c r="H15" i="1"/>
  <c r="I15" i="1"/>
  <c r="J15" i="1"/>
  <c r="K15" i="1"/>
  <c r="L15" i="1"/>
  <c r="M15" i="1"/>
  <c r="G42" i="1" l="1"/>
  <c r="G43" i="1" s="1"/>
  <c r="N15" i="1"/>
  <c r="E43" i="1"/>
  <c r="N25" i="1"/>
  <c r="E44" i="1" l="1"/>
  <c r="F4" i="1" s="1"/>
  <c r="M42" i="1"/>
  <c r="M43" i="1" s="1"/>
  <c r="L6" i="1"/>
  <c r="L42" i="1"/>
  <c r="L43" i="1" s="1"/>
  <c r="K6" i="1"/>
  <c r="M6" i="1"/>
  <c r="K42" i="1" l="1"/>
  <c r="K43" i="1" s="1"/>
  <c r="J6" i="1"/>
  <c r="I6" i="1"/>
  <c r="H42" i="1"/>
  <c r="H43" i="1" s="1"/>
  <c r="H6" i="1"/>
  <c r="N6" i="1" l="1"/>
  <c r="N45" i="1" s="1"/>
  <c r="I42" i="1"/>
  <c r="I43" i="1" s="1"/>
  <c r="J42" i="1"/>
  <c r="J43" i="1" s="1"/>
  <c r="F42" i="1" l="1"/>
  <c r="F43" i="1" l="1"/>
  <c r="F44" i="1" s="1"/>
  <c r="G4" i="1" s="1"/>
  <c r="N42" i="1"/>
  <c r="F45" i="1"/>
  <c r="G5" i="1" s="1"/>
  <c r="N43" i="1" l="1"/>
  <c r="N44" i="1" s="1"/>
  <c r="G45" i="1" l="1"/>
  <c r="H5" i="1" s="1"/>
  <c r="H45" i="1" l="1"/>
  <c r="I5" i="1" s="1"/>
  <c r="G44" i="1" l="1"/>
  <c r="H4" i="1" s="1"/>
  <c r="I45" i="1" l="1"/>
  <c r="J5" i="1" s="1"/>
  <c r="H44" i="1"/>
  <c r="I4" i="1" s="1"/>
  <c r="J45" i="1" l="1"/>
  <c r="K5" i="1" s="1"/>
  <c r="I44" i="1" l="1"/>
  <c r="J4" i="1" s="1"/>
  <c r="K45" i="1"/>
  <c r="L5" i="1" s="1"/>
  <c r="J44" i="1" l="1"/>
  <c r="K4" i="1" s="1"/>
  <c r="L45" i="1"/>
  <c r="M5" i="1" s="1"/>
  <c r="M45" i="1" l="1"/>
  <c r="K44" i="1"/>
  <c r="L4" i="1" s="1"/>
  <c r="L44" i="1" l="1"/>
  <c r="M4" i="1" s="1"/>
  <c r="M44" i="1" l="1"/>
</calcChain>
</file>

<file path=xl/sharedStrings.xml><?xml version="1.0" encoding="utf-8"?>
<sst xmlns="http://schemas.openxmlformats.org/spreadsheetml/2006/main" count="58" uniqueCount="48">
  <si>
    <t>Наименование статей</t>
  </si>
  <si>
    <t>Аварийная служба</t>
  </si>
  <si>
    <t>ЕИРКЦ паспортная служба</t>
  </si>
  <si>
    <t>ЕИРКЦ услуги за начисление</t>
  </si>
  <si>
    <t>Система «Город» по приему платежей</t>
  </si>
  <si>
    <t>Экономия/перерасход (+,-)</t>
  </si>
  <si>
    <t>Услуги управляющей компании</t>
  </si>
  <si>
    <t>Накопительный счет</t>
  </si>
  <si>
    <t>Поступления за месяц, всего:</t>
  </si>
  <si>
    <t>Содержание и техобслуживание МКД</t>
  </si>
  <si>
    <t>Подрядные работы, текущий ремонт</t>
  </si>
  <si>
    <t>Задолженность по оплате (сальдо исходящее)</t>
  </si>
  <si>
    <t>Начисления за месяц, всего:</t>
  </si>
  <si>
    <t xml:space="preserve">Входящее сальдо по оплате на начало периода </t>
  </si>
  <si>
    <t>Средства на счете дома на начало периода</t>
  </si>
  <si>
    <t>ГВС на содержание ОИ</t>
  </si>
  <si>
    <t>ХВС на содержание ОИ</t>
  </si>
  <si>
    <t>Эл.энергия на содержание ОИ</t>
  </si>
  <si>
    <t>Расходы ГВС на содержание ОИ</t>
  </si>
  <si>
    <t>Расходы ХВС на содержание ОИ</t>
  </si>
  <si>
    <t>Расходы эл.энергия на содержание ОИ</t>
  </si>
  <si>
    <t>Итого расходы</t>
  </si>
  <si>
    <t>РАСХОДЫ</t>
  </si>
  <si>
    <t>Доход от использования общего имущества</t>
  </si>
  <si>
    <t>Комплексное обслуживание лифтов</t>
  </si>
  <si>
    <t>Отведение сточных вод на ОИ</t>
  </si>
  <si>
    <t xml:space="preserve">                       ООО "УК "Авангард"</t>
  </si>
  <si>
    <t>Периодическое техническое освидетельствование лифтов</t>
  </si>
  <si>
    <t>Содержание жилья и текущий ремонт,  ОПУ</t>
  </si>
  <si>
    <t>Тех.обслуживание приборов учета</t>
  </si>
  <si>
    <t>Содержание жилья и текущий ремонт /нежилые</t>
  </si>
  <si>
    <t>Вознаграждение совета МКД</t>
  </si>
  <si>
    <t>Налоги с вознаграждения совета МКД</t>
  </si>
  <si>
    <t>Январь 2025г.</t>
  </si>
  <si>
    <t>Февраль 2025г.</t>
  </si>
  <si>
    <t>Март 2025г.</t>
  </si>
  <si>
    <t>Апрель 2025г.</t>
  </si>
  <si>
    <t>Май 2025г.</t>
  </si>
  <si>
    <t>Июнь 2025г.</t>
  </si>
  <si>
    <t>Июль 2025г.</t>
  </si>
  <si>
    <t>Август 2025г.</t>
  </si>
  <si>
    <t>Сентябрь 2025г.</t>
  </si>
  <si>
    <t>Октябрь 2025г.</t>
  </si>
  <si>
    <t>Ноябрь 2025г.</t>
  </si>
  <si>
    <t>Декабрь 2025г.</t>
  </si>
  <si>
    <t>Всего:                       за  2025г.</t>
  </si>
  <si>
    <t>Услуга по выкату и перемещению контейнеров с отходами</t>
  </si>
  <si>
    <t xml:space="preserve">       ОТЧЕТ по дому Ударная, 83/1 за период с 01.01.2025г. по 31.12.2025г.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</si>
</sst>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10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8"/>
      <name val="Arial Cyr"/>
      <charset val="204"/>
    </font>
    <font>
      <b/>
      <sz val="18"/>
      <name val="Times New Roman"/>
      <family val="1"/>
      <charset val="204"/>
    </font>
    <font>
      <sz val="18"/>
      <name val="Arial Cyr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1" fillId="4" borderId="3" xfId="0" applyFont="1" applyFill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0" fillId="0" borderId="0" xfId="0" applyAlignment="1">
      <alignment vertical="top"/>
    </xf>
    <xf numFmtId="164" fontId="7" fillId="2" borderId="4" xfId="0" applyNumberFormat="1" applyFont="1" applyFill="1" applyBorder="1" applyAlignment="1">
      <alignment horizontal="left" vertical="top" wrapText="1"/>
    </xf>
    <xf numFmtId="164" fontId="7" fillId="3" borderId="4" xfId="0" applyNumberFormat="1" applyFont="1" applyFill="1" applyBorder="1" applyAlignment="1">
      <alignment horizontal="left" vertical="top" wrapText="1"/>
    </xf>
    <xf numFmtId="164" fontId="6" fillId="0" borderId="4" xfId="0" applyNumberFormat="1" applyFont="1" applyBorder="1" applyAlignment="1">
      <alignment horizontal="left" vertical="top" wrapText="1"/>
    </xf>
    <xf numFmtId="164" fontId="7" fillId="4" borderId="4" xfId="0" applyNumberFormat="1" applyFont="1" applyFill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left" vertical="top" wrapText="1"/>
    </xf>
    <xf numFmtId="164" fontId="6" fillId="0" borderId="2" xfId="0" applyNumberFormat="1" applyFont="1" applyBorder="1" applyAlignment="1">
      <alignment horizontal="left" vertical="top" wrapText="1"/>
    </xf>
    <xf numFmtId="164" fontId="6" fillId="0" borderId="6" xfId="0" applyNumberFormat="1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left" vertical="top" wrapText="1"/>
    </xf>
    <xf numFmtId="164" fontId="7" fillId="0" borderId="4" xfId="0" applyNumberFormat="1" applyFont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left" vertical="top"/>
    </xf>
    <xf numFmtId="164" fontId="6" fillId="0" borderId="4" xfId="0" applyNumberFormat="1" applyFont="1" applyBorder="1" applyAlignment="1">
      <alignment horizontal="left" vertical="top"/>
    </xf>
    <xf numFmtId="164" fontId="6" fillId="0" borderId="4" xfId="0" applyNumberFormat="1" applyFont="1" applyFill="1" applyBorder="1" applyAlignment="1">
      <alignment horizontal="left" vertical="top" wrapText="1"/>
    </xf>
    <xf numFmtId="0" fontId="8" fillId="0" borderId="0" xfId="0" applyFont="1" applyAlignment="1">
      <alignment horizontal="center"/>
    </xf>
    <xf numFmtId="0" fontId="9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"/>
  <sheetViews>
    <sheetView tabSelected="1" topLeftCell="C28" zoomScale="75" workbookViewId="0">
      <selection activeCell="A10" sqref="A1:H1048576"/>
    </sheetView>
  </sheetViews>
  <sheetFormatPr defaultRowHeight="13.2" x14ac:dyDescent="0.25"/>
  <cols>
    <col min="1" max="1" width="58.6640625" customWidth="1"/>
    <col min="2" max="2" width="14.33203125" customWidth="1"/>
    <col min="3" max="6" width="14.109375" customWidth="1"/>
    <col min="7" max="7" width="16.77734375" customWidth="1"/>
    <col min="8" max="8" width="15" customWidth="1"/>
    <col min="9" max="9" width="14.88671875" customWidth="1"/>
    <col min="10" max="10" width="15.21875" customWidth="1"/>
    <col min="11" max="11" width="14.77734375" customWidth="1"/>
    <col min="12" max="12" width="15.5546875" customWidth="1"/>
    <col min="13" max="13" width="15.33203125" customWidth="1"/>
    <col min="14" max="14" width="15.88671875" customWidth="1"/>
  </cols>
  <sheetData>
    <row r="1" spans="1:20" ht="20.399999999999999" x14ac:dyDescent="0.35">
      <c r="A1" s="22" t="s">
        <v>26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20" ht="20.25" customHeight="1" thickBot="1" x14ac:dyDescent="0.45">
      <c r="A2" s="24" t="s">
        <v>47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20" ht="38.25" customHeight="1" thickBot="1" x14ac:dyDescent="0.3">
      <c r="A3" s="1" t="s">
        <v>0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42</v>
      </c>
      <c r="L3" s="2" t="s">
        <v>43</v>
      </c>
      <c r="M3" s="2" t="s">
        <v>44</v>
      </c>
      <c r="N3" s="2" t="s">
        <v>45</v>
      </c>
    </row>
    <row r="4" spans="1:20" ht="23.25" customHeight="1" thickBot="1" x14ac:dyDescent="0.3">
      <c r="A4" s="3" t="s">
        <v>14</v>
      </c>
      <c r="B4" s="10">
        <v>-3322.54</v>
      </c>
      <c r="C4" s="10">
        <f>B44</f>
        <v>10061.307219999995</v>
      </c>
      <c r="D4" s="10">
        <f t="shared" ref="D4:M5" si="0">C44</f>
        <v>18468.286419999982</v>
      </c>
      <c r="E4" s="10">
        <f t="shared" si="0"/>
        <v>30998.807739999982</v>
      </c>
      <c r="F4" s="10">
        <f t="shared" si="0"/>
        <v>23032.99157999998</v>
      </c>
      <c r="G4" s="10">
        <f t="shared" si="0"/>
        <v>-67645.96636000002</v>
      </c>
      <c r="H4" s="10">
        <f t="shared" si="0"/>
        <v>-102348.62882000003</v>
      </c>
      <c r="I4" s="10">
        <f t="shared" si="0"/>
        <v>-261021.49436000001</v>
      </c>
      <c r="J4" s="10">
        <f t="shared" si="0"/>
        <v>-297924.69030000002</v>
      </c>
      <c r="K4" s="10">
        <f t="shared" si="0"/>
        <v>-288899.4559</v>
      </c>
      <c r="L4" s="10">
        <f t="shared" si="0"/>
        <v>-273403.14120000001</v>
      </c>
      <c r="M4" s="10">
        <f t="shared" si="0"/>
        <v>-240051.25876000003</v>
      </c>
      <c r="N4" s="10">
        <f>B4</f>
        <v>-3322.54</v>
      </c>
    </row>
    <row r="5" spans="1:20" ht="21" customHeight="1" thickBot="1" x14ac:dyDescent="0.3">
      <c r="A5" s="3" t="s">
        <v>13</v>
      </c>
      <c r="B5" s="10">
        <v>-244442.73</v>
      </c>
      <c r="C5" s="10">
        <f t="shared" ref="C5" si="1">B45</f>
        <v>-247024.62000000002</v>
      </c>
      <c r="D5" s="10">
        <f t="shared" si="0"/>
        <v>-252770.90000000005</v>
      </c>
      <c r="E5" s="10">
        <f t="shared" si="0"/>
        <v>-257594.44000000006</v>
      </c>
      <c r="F5" s="10">
        <f t="shared" si="0"/>
        <v>-263007.80000000005</v>
      </c>
      <c r="G5" s="10">
        <f t="shared" si="0"/>
        <v>-266829.17000000004</v>
      </c>
      <c r="H5" s="10">
        <f t="shared" si="0"/>
        <v>-271907.24000000005</v>
      </c>
      <c r="I5" s="10">
        <f t="shared" si="0"/>
        <v>-286069.13</v>
      </c>
      <c r="J5" s="10">
        <f t="shared" si="0"/>
        <v>-295894.94</v>
      </c>
      <c r="K5" s="10">
        <f t="shared" si="0"/>
        <v>-303569.5</v>
      </c>
      <c r="L5" s="10">
        <f t="shared" si="0"/>
        <v>-322460.59000000003</v>
      </c>
      <c r="M5" s="10">
        <f t="shared" si="0"/>
        <v>-313053.33</v>
      </c>
      <c r="N5" s="10">
        <f>B5</f>
        <v>-244442.73</v>
      </c>
    </row>
    <row r="6" spans="1:20" ht="20.25" customHeight="1" thickBot="1" x14ac:dyDescent="0.3">
      <c r="A6" s="4" t="s">
        <v>12</v>
      </c>
      <c r="B6" s="11">
        <f t="shared" ref="B6:M6" si="2">SUM(B7:B14)</f>
        <v>106305.16</v>
      </c>
      <c r="C6" s="11">
        <f t="shared" si="2"/>
        <v>108841.95000000001</v>
      </c>
      <c r="D6" s="11">
        <f t="shared" si="2"/>
        <v>107790.98000000001</v>
      </c>
      <c r="E6" s="11">
        <f t="shared" si="2"/>
        <v>108239.41</v>
      </c>
      <c r="F6" s="11">
        <f t="shared" si="2"/>
        <v>103554.09000000001</v>
      </c>
      <c r="G6" s="11">
        <f t="shared" si="2"/>
        <v>99176.510000000009</v>
      </c>
      <c r="H6" s="11">
        <f t="shared" si="2"/>
        <v>117122.29000000001</v>
      </c>
      <c r="I6" s="11">
        <f t="shared" si="2"/>
        <v>117370.29000000001</v>
      </c>
      <c r="J6" s="11">
        <f t="shared" si="2"/>
        <v>119761.40000000001</v>
      </c>
      <c r="K6" s="11">
        <f t="shared" si="2"/>
        <v>128696.5</v>
      </c>
      <c r="L6" s="11">
        <f t="shared" si="2"/>
        <v>117680.46</v>
      </c>
      <c r="M6" s="11">
        <f t="shared" si="2"/>
        <v>117578.49</v>
      </c>
      <c r="N6" s="11">
        <f>SUM(B6:M6)</f>
        <v>1352117.53</v>
      </c>
    </row>
    <row r="7" spans="1:20" ht="24.75" customHeight="1" thickBot="1" x14ac:dyDescent="0.3">
      <c r="A7" s="8" t="s">
        <v>28</v>
      </c>
      <c r="B7" s="12">
        <v>98548.82</v>
      </c>
      <c r="C7" s="12">
        <v>98548.82</v>
      </c>
      <c r="D7" s="12">
        <v>98548.82</v>
      </c>
      <c r="E7" s="12">
        <v>98548.82</v>
      </c>
      <c r="F7" s="12">
        <v>98548.82</v>
      </c>
      <c r="G7" s="12">
        <v>98548.82</v>
      </c>
      <c r="H7" s="12">
        <v>116194.6</v>
      </c>
      <c r="I7" s="12">
        <v>116194.6</v>
      </c>
      <c r="J7" s="12">
        <v>116194.6</v>
      </c>
      <c r="K7" s="12">
        <v>116194.6</v>
      </c>
      <c r="L7" s="12">
        <v>116194.6</v>
      </c>
      <c r="M7" s="12">
        <v>116194.6</v>
      </c>
      <c r="N7" s="12">
        <f>SUM(B7:M7)</f>
        <v>1288460.5200000003</v>
      </c>
    </row>
    <row r="8" spans="1:20" ht="24.75" hidden="1" customHeight="1" thickBot="1" x14ac:dyDescent="0.3">
      <c r="A8" s="8" t="s">
        <v>30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>
        <f>SUM(B8:M8)</f>
        <v>0</v>
      </c>
    </row>
    <row r="9" spans="1:20" ht="24.75" customHeight="1" thickBot="1" x14ac:dyDescent="0.3">
      <c r="A9" s="8" t="s">
        <v>15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f t="shared" ref="N9:N14" si="3">SUM(B9:M9)</f>
        <v>0</v>
      </c>
    </row>
    <row r="10" spans="1:20" ht="21.75" customHeight="1" thickBot="1" x14ac:dyDescent="0.3">
      <c r="A10" s="8" t="s">
        <v>16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96.63</v>
      </c>
      <c r="J10" s="12">
        <v>422.21</v>
      </c>
      <c r="K10" s="12">
        <v>422.21</v>
      </c>
      <c r="L10" s="12">
        <v>422.21</v>
      </c>
      <c r="M10" s="12">
        <v>422.21</v>
      </c>
      <c r="N10" s="12">
        <f t="shared" si="3"/>
        <v>1785.47</v>
      </c>
    </row>
    <row r="11" spans="1:20" ht="22.5" customHeight="1" thickBot="1" x14ac:dyDescent="0.3">
      <c r="A11" s="8" t="s">
        <v>17</v>
      </c>
      <c r="B11" s="12">
        <v>2808.65</v>
      </c>
      <c r="C11" s="12">
        <v>5345.44</v>
      </c>
      <c r="D11" s="12">
        <v>4294.47</v>
      </c>
      <c r="E11" s="12">
        <v>4742.8999999999996</v>
      </c>
      <c r="F11" s="12">
        <v>8697.58</v>
      </c>
      <c r="G11" s="12">
        <v>0</v>
      </c>
      <c r="H11" s="12">
        <v>0</v>
      </c>
      <c r="I11" s="12">
        <v>117.38</v>
      </c>
      <c r="J11" s="12">
        <v>2182.91</v>
      </c>
      <c r="K11" s="12">
        <v>11118.01</v>
      </c>
      <c r="L11" s="12">
        <v>101.97</v>
      </c>
      <c r="M11" s="12">
        <v>0</v>
      </c>
      <c r="N11" s="12">
        <f t="shared" si="3"/>
        <v>39409.310000000005</v>
      </c>
    </row>
    <row r="12" spans="1:20" ht="22.5" customHeight="1" thickBot="1" x14ac:dyDescent="0.3">
      <c r="A12" s="8" t="s">
        <v>25</v>
      </c>
      <c r="B12" s="12">
        <v>327.69</v>
      </c>
      <c r="C12" s="12">
        <v>327.69</v>
      </c>
      <c r="D12" s="12">
        <v>327.69</v>
      </c>
      <c r="E12" s="12">
        <v>327.69</v>
      </c>
      <c r="F12" s="12">
        <v>327.69</v>
      </c>
      <c r="G12" s="12">
        <v>327.69</v>
      </c>
      <c r="H12" s="12">
        <v>327.69</v>
      </c>
      <c r="I12" s="12">
        <v>361.68</v>
      </c>
      <c r="J12" s="12">
        <v>361.68</v>
      </c>
      <c r="K12" s="12">
        <v>361.68</v>
      </c>
      <c r="L12" s="12">
        <v>361.68</v>
      </c>
      <c r="M12" s="12">
        <v>361.68</v>
      </c>
      <c r="N12" s="12">
        <f t="shared" si="3"/>
        <v>4102.2299999999996</v>
      </c>
    </row>
    <row r="13" spans="1:20" ht="22.5" customHeight="1" thickBot="1" x14ac:dyDescent="0.3">
      <c r="A13" s="8" t="s">
        <v>31</v>
      </c>
      <c r="B13" s="12">
        <v>4320</v>
      </c>
      <c r="C13" s="12">
        <v>4320</v>
      </c>
      <c r="D13" s="12">
        <v>4320</v>
      </c>
      <c r="E13" s="12">
        <v>4320</v>
      </c>
      <c r="F13" s="12">
        <v>-4320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f t="shared" si="3"/>
        <v>12960</v>
      </c>
    </row>
    <row r="14" spans="1:20" ht="22.5" customHeight="1" thickBot="1" x14ac:dyDescent="0.3">
      <c r="A14" s="8" t="s">
        <v>23</v>
      </c>
      <c r="B14" s="12">
        <v>300</v>
      </c>
      <c r="C14" s="12">
        <v>300</v>
      </c>
      <c r="D14" s="12">
        <v>300</v>
      </c>
      <c r="E14" s="12">
        <v>300</v>
      </c>
      <c r="F14" s="12">
        <v>300</v>
      </c>
      <c r="G14" s="12">
        <v>300</v>
      </c>
      <c r="H14" s="12">
        <v>600</v>
      </c>
      <c r="I14" s="12">
        <v>600</v>
      </c>
      <c r="J14" s="12">
        <v>600</v>
      </c>
      <c r="K14" s="12">
        <v>600</v>
      </c>
      <c r="L14" s="12">
        <v>600</v>
      </c>
      <c r="M14" s="12">
        <v>600</v>
      </c>
      <c r="N14" s="12">
        <f t="shared" si="3"/>
        <v>5400</v>
      </c>
    </row>
    <row r="15" spans="1:20" ht="20.25" customHeight="1" thickBot="1" x14ac:dyDescent="0.3">
      <c r="A15" s="6" t="s">
        <v>8</v>
      </c>
      <c r="B15" s="13">
        <f t="shared" ref="B15:M15" si="4">SUM(B16:B23)</f>
        <v>103723.27</v>
      </c>
      <c r="C15" s="13">
        <f t="shared" si="4"/>
        <v>103095.66999999998</v>
      </c>
      <c r="D15" s="13">
        <f t="shared" si="4"/>
        <v>102967.44</v>
      </c>
      <c r="E15" s="13">
        <f t="shared" si="4"/>
        <v>102826.05</v>
      </c>
      <c r="F15" s="13">
        <f t="shared" si="4"/>
        <v>99732.72</v>
      </c>
      <c r="G15" s="13">
        <f t="shared" si="4"/>
        <v>94098.44</v>
      </c>
      <c r="H15" s="13">
        <f t="shared" si="4"/>
        <v>102960.40000000001</v>
      </c>
      <c r="I15" s="13">
        <f t="shared" si="4"/>
        <v>107544.48000000001</v>
      </c>
      <c r="J15" s="13">
        <f t="shared" si="4"/>
        <v>112086.84</v>
      </c>
      <c r="K15" s="13">
        <f t="shared" si="4"/>
        <v>109805.40999999999</v>
      </c>
      <c r="L15" s="13">
        <f t="shared" si="4"/>
        <v>127087.72</v>
      </c>
      <c r="M15" s="13">
        <f t="shared" si="4"/>
        <v>109069.82999999999</v>
      </c>
      <c r="N15" s="13">
        <f>SUM(B15:M15)</f>
        <v>1274998.2700000003</v>
      </c>
      <c r="T15" s="9"/>
    </row>
    <row r="16" spans="1:20" ht="24" customHeight="1" thickBot="1" x14ac:dyDescent="0.3">
      <c r="A16" s="8" t="s">
        <v>28</v>
      </c>
      <c r="B16" s="12">
        <v>95849.13</v>
      </c>
      <c r="C16" s="12">
        <v>95915.48</v>
      </c>
      <c r="D16" s="12">
        <v>93595.73</v>
      </c>
      <c r="E16" s="12">
        <v>94377.86</v>
      </c>
      <c r="F16" s="12">
        <f>93494.08+1440</f>
        <v>94934.080000000002</v>
      </c>
      <c r="G16" s="12">
        <f>86232.37+20</f>
        <v>86252.37</v>
      </c>
      <c r="H16" s="12">
        <f>101440.39+102.38</f>
        <v>101542.77</v>
      </c>
      <c r="I16" s="12">
        <v>106466.69</v>
      </c>
      <c r="J16" s="12">
        <v>110740.62</v>
      </c>
      <c r="K16" s="12">
        <v>106551.24</v>
      </c>
      <c r="L16" s="12">
        <v>115536.75</v>
      </c>
      <c r="M16" s="12">
        <v>107307.2</v>
      </c>
      <c r="N16" s="12">
        <f>SUM(B16:M16)</f>
        <v>1209069.9199999997</v>
      </c>
    </row>
    <row r="17" spans="1:14" ht="24" hidden="1" customHeight="1" thickBot="1" x14ac:dyDescent="0.3">
      <c r="A17" s="8" t="s">
        <v>30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>
        <f>SUM(B17:M17)</f>
        <v>0</v>
      </c>
    </row>
    <row r="18" spans="1:14" ht="26.25" customHeight="1" thickBot="1" x14ac:dyDescent="0.3">
      <c r="A18" s="8" t="s">
        <v>15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f t="shared" ref="N18:N23" si="5">SUM(B18:M18)</f>
        <v>0</v>
      </c>
    </row>
    <row r="19" spans="1:14" ht="26.25" customHeight="1" thickBot="1" x14ac:dyDescent="0.3">
      <c r="A19" s="8" t="s">
        <v>16</v>
      </c>
      <c r="B19" s="12">
        <v>13.76</v>
      </c>
      <c r="C19" s="12">
        <v>4.7699999999999996</v>
      </c>
      <c r="D19" s="12">
        <v>0.36</v>
      </c>
      <c r="E19" s="12">
        <v>0</v>
      </c>
      <c r="F19" s="12">
        <v>0</v>
      </c>
      <c r="G19" s="12">
        <v>0.08</v>
      </c>
      <c r="H19" s="12">
        <v>0.33</v>
      </c>
      <c r="I19" s="12">
        <v>0</v>
      </c>
      <c r="J19" s="12">
        <v>85.89</v>
      </c>
      <c r="K19" s="12">
        <v>378.12</v>
      </c>
      <c r="L19" s="12">
        <v>408.21</v>
      </c>
      <c r="M19" s="12">
        <v>387.4</v>
      </c>
      <c r="N19" s="12">
        <f t="shared" si="5"/>
        <v>1278.92</v>
      </c>
    </row>
    <row r="20" spans="1:14" ht="24" customHeight="1" thickBot="1" x14ac:dyDescent="0.3">
      <c r="A20" s="8" t="s">
        <v>17</v>
      </c>
      <c r="B20" s="14">
        <v>3180.38</v>
      </c>
      <c r="C20" s="15">
        <v>2773.15</v>
      </c>
      <c r="D20" s="15">
        <v>4951.7700000000004</v>
      </c>
      <c r="E20" s="15">
        <v>4126.8900000000003</v>
      </c>
      <c r="F20" s="15">
        <v>4495.07</v>
      </c>
      <c r="G20" s="15">
        <v>7534.43</v>
      </c>
      <c r="H20" s="12">
        <v>612.86</v>
      </c>
      <c r="I20" s="12">
        <v>176.07</v>
      </c>
      <c r="J20" s="12">
        <v>319.77999999999997</v>
      </c>
      <c r="K20" s="12">
        <v>1944.4</v>
      </c>
      <c r="L20" s="12">
        <v>10183.950000000001</v>
      </c>
      <c r="M20" s="12">
        <v>442.14</v>
      </c>
      <c r="N20" s="12">
        <f t="shared" si="5"/>
        <v>40740.89</v>
      </c>
    </row>
    <row r="21" spans="1:14" ht="24" customHeight="1" thickBot="1" x14ac:dyDescent="0.3">
      <c r="A21" s="8" t="s">
        <v>25</v>
      </c>
      <c r="B21" s="16">
        <v>0</v>
      </c>
      <c r="C21" s="16">
        <v>14.43</v>
      </c>
      <c r="D21" s="16">
        <v>4.88</v>
      </c>
      <c r="E21" s="16">
        <v>0</v>
      </c>
      <c r="F21" s="16">
        <v>3.57</v>
      </c>
      <c r="G21" s="16">
        <v>11.56</v>
      </c>
      <c r="H21" s="14">
        <v>204.44</v>
      </c>
      <c r="I21" s="15">
        <v>301.72000000000003</v>
      </c>
      <c r="J21" s="15">
        <v>340.55</v>
      </c>
      <c r="K21" s="12">
        <v>331.65</v>
      </c>
      <c r="L21" s="12">
        <v>358.81</v>
      </c>
      <c r="M21" s="12">
        <v>333.09</v>
      </c>
      <c r="N21" s="12">
        <f t="shared" si="5"/>
        <v>1904.7</v>
      </c>
    </row>
    <row r="22" spans="1:14" ht="24" customHeight="1" thickBot="1" x14ac:dyDescent="0.3">
      <c r="A22" s="8" t="s">
        <v>31</v>
      </c>
      <c r="B22" s="14">
        <v>4380</v>
      </c>
      <c r="C22" s="15">
        <v>4087.84</v>
      </c>
      <c r="D22" s="15">
        <v>4114.7</v>
      </c>
      <c r="E22" s="14">
        <v>4021.3</v>
      </c>
      <c r="F22" s="15">
        <v>0</v>
      </c>
      <c r="G22" s="15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f t="shared" si="5"/>
        <v>16603.84</v>
      </c>
    </row>
    <row r="23" spans="1:14" ht="24" customHeight="1" thickBot="1" x14ac:dyDescent="0.3">
      <c r="A23" s="8" t="s">
        <v>23</v>
      </c>
      <c r="B23" s="14">
        <v>300</v>
      </c>
      <c r="C23" s="14">
        <v>300</v>
      </c>
      <c r="D23" s="14">
        <v>300</v>
      </c>
      <c r="E23" s="14">
        <v>300</v>
      </c>
      <c r="F23" s="14">
        <v>300</v>
      </c>
      <c r="G23" s="14">
        <v>300</v>
      </c>
      <c r="H23" s="14">
        <v>600</v>
      </c>
      <c r="I23" s="14">
        <v>600</v>
      </c>
      <c r="J23" s="14">
        <v>600</v>
      </c>
      <c r="K23" s="14">
        <v>600</v>
      </c>
      <c r="L23" s="14">
        <v>600</v>
      </c>
      <c r="M23" s="14">
        <v>600</v>
      </c>
      <c r="N23" s="12">
        <f t="shared" si="5"/>
        <v>5400</v>
      </c>
    </row>
    <row r="24" spans="1:14" ht="21.75" customHeight="1" thickBot="1" x14ac:dyDescent="0.3">
      <c r="A24" s="7" t="s">
        <v>22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8"/>
    </row>
    <row r="25" spans="1:14" ht="22.2" customHeight="1" thickBot="1" x14ac:dyDescent="0.3">
      <c r="A25" s="8" t="s">
        <v>1</v>
      </c>
      <c r="B25" s="21">
        <f t="shared" ref="B25:M25" si="6">3938.8*0.6</f>
        <v>2363.2800000000002</v>
      </c>
      <c r="C25" s="21">
        <f t="shared" si="6"/>
        <v>2363.2800000000002</v>
      </c>
      <c r="D25" s="21">
        <f t="shared" si="6"/>
        <v>2363.2800000000002</v>
      </c>
      <c r="E25" s="21">
        <f t="shared" si="6"/>
        <v>2363.2800000000002</v>
      </c>
      <c r="F25" s="21">
        <f t="shared" si="6"/>
        <v>2363.2800000000002</v>
      </c>
      <c r="G25" s="21">
        <f t="shared" si="6"/>
        <v>2363.2800000000002</v>
      </c>
      <c r="H25" s="21">
        <f t="shared" si="6"/>
        <v>2363.2800000000002</v>
      </c>
      <c r="I25" s="21">
        <f t="shared" si="6"/>
        <v>2363.2800000000002</v>
      </c>
      <c r="J25" s="21">
        <f t="shared" si="6"/>
        <v>2363.2800000000002</v>
      </c>
      <c r="K25" s="21">
        <f t="shared" si="6"/>
        <v>2363.2800000000002</v>
      </c>
      <c r="L25" s="21">
        <f t="shared" si="6"/>
        <v>2363.2800000000002</v>
      </c>
      <c r="M25" s="21">
        <f t="shared" si="6"/>
        <v>2363.2800000000002</v>
      </c>
      <c r="N25" s="12">
        <f t="shared" ref="N25" si="7">SUM(B25:M25)</f>
        <v>28359.359999999997</v>
      </c>
    </row>
    <row r="26" spans="1:14" ht="22.5" customHeight="1" thickBot="1" x14ac:dyDescent="0.3">
      <c r="A26" s="8" t="s">
        <v>2</v>
      </c>
      <c r="B26" s="21">
        <f t="shared" ref="B26" si="8">3938.8*0.17</f>
        <v>669.59600000000012</v>
      </c>
      <c r="C26" s="21">
        <f>3938.8*0.2</f>
        <v>787.7600000000001</v>
      </c>
      <c r="D26" s="21">
        <f>3938.8*0.2</f>
        <v>787.7600000000001</v>
      </c>
      <c r="E26" s="21">
        <f t="shared" ref="E26:M26" si="9">3938.8*0.2</f>
        <v>787.7600000000001</v>
      </c>
      <c r="F26" s="21">
        <f t="shared" si="9"/>
        <v>787.7600000000001</v>
      </c>
      <c r="G26" s="21">
        <f t="shared" si="9"/>
        <v>787.7600000000001</v>
      </c>
      <c r="H26" s="21">
        <f t="shared" si="9"/>
        <v>787.7600000000001</v>
      </c>
      <c r="I26" s="21">
        <f t="shared" si="9"/>
        <v>787.7600000000001</v>
      </c>
      <c r="J26" s="21">
        <f t="shared" si="9"/>
        <v>787.7600000000001</v>
      </c>
      <c r="K26" s="21">
        <f t="shared" si="9"/>
        <v>787.7600000000001</v>
      </c>
      <c r="L26" s="21">
        <f t="shared" si="9"/>
        <v>787.7600000000001</v>
      </c>
      <c r="M26" s="21">
        <f t="shared" si="9"/>
        <v>787.7600000000001</v>
      </c>
      <c r="N26" s="12">
        <f>SUM(B26:M26)</f>
        <v>9334.9560000000019</v>
      </c>
    </row>
    <row r="27" spans="1:14" ht="21" customHeight="1" thickBot="1" x14ac:dyDescent="0.3">
      <c r="A27" s="8" t="s">
        <v>3</v>
      </c>
      <c r="B27" s="12">
        <f>106005.16*2.3%</f>
        <v>2438.11868</v>
      </c>
      <c r="C27" s="12">
        <f>108541.95*2.6%</f>
        <v>2822.0907000000002</v>
      </c>
      <c r="D27" s="12">
        <f>107490.98*2.6%</f>
        <v>2794.76548</v>
      </c>
      <c r="E27" s="12">
        <f>107939.41*2.6%</f>
        <v>2806.4246600000001</v>
      </c>
      <c r="F27" s="12">
        <f>103254.09*2.6%</f>
        <v>2684.6063400000003</v>
      </c>
      <c r="G27" s="12">
        <f>98876.51*2.6%</f>
        <v>2570.78926</v>
      </c>
      <c r="H27" s="12">
        <f>116522.29*2.6%</f>
        <v>3029.5795400000002</v>
      </c>
      <c r="I27" s="12">
        <f>116770.29*2.6%</f>
        <v>3036.02754</v>
      </c>
      <c r="J27" s="12">
        <f>119161.4*2.6%</f>
        <v>3098.1964000000003</v>
      </c>
      <c r="K27" s="12">
        <f>128096.5*2.6%</f>
        <v>3330.5090000000005</v>
      </c>
      <c r="L27" s="12">
        <f>117080.46*2.6%</f>
        <v>3044.0919600000007</v>
      </c>
      <c r="M27" s="12">
        <f>116978.49*2.6%</f>
        <v>3041.4407400000005</v>
      </c>
      <c r="N27" s="12">
        <f t="shared" ref="N27:N41" si="10">SUM(B27:M27)</f>
        <v>34696.640300000006</v>
      </c>
    </row>
    <row r="28" spans="1:14" ht="23.25" customHeight="1" thickBot="1" x14ac:dyDescent="0.3">
      <c r="A28" s="8" t="s">
        <v>4</v>
      </c>
      <c r="B28" s="20">
        <f>103423.27*3%</f>
        <v>3102.6981000000001</v>
      </c>
      <c r="C28" s="12">
        <f>102795.67*3%</f>
        <v>3083.8700999999996</v>
      </c>
      <c r="D28" s="19">
        <f>102667.44*3%</f>
        <v>3080.0232000000001</v>
      </c>
      <c r="E28" s="20">
        <f>102526.05*3%</f>
        <v>3075.7815000000001</v>
      </c>
      <c r="F28" s="20">
        <f>99432.72*3%</f>
        <v>2982.9816000000001</v>
      </c>
      <c r="G28" s="20">
        <f>93798.44*3%</f>
        <v>2813.9531999999999</v>
      </c>
      <c r="H28" s="20">
        <f>102360.4*3%</f>
        <v>3070.8119999999999</v>
      </c>
      <c r="I28" s="20">
        <f>106944.48*3%</f>
        <v>3208.3343999999997</v>
      </c>
      <c r="J28" s="20">
        <f>111486.84*3%</f>
        <v>3344.6052</v>
      </c>
      <c r="K28" s="20">
        <f>109205.41*3%</f>
        <v>3276.1623</v>
      </c>
      <c r="L28" s="20">
        <f>126487.72*3%</f>
        <v>3794.6315999999997</v>
      </c>
      <c r="M28" s="20">
        <f>108469.83*3%</f>
        <v>3254.0949000000001</v>
      </c>
      <c r="N28" s="12">
        <f t="shared" si="10"/>
        <v>38087.948099999994</v>
      </c>
    </row>
    <row r="29" spans="1:14" ht="23.25" customHeight="1" thickBot="1" x14ac:dyDescent="0.3">
      <c r="A29" s="8" t="s">
        <v>9</v>
      </c>
      <c r="B29" s="21">
        <f>3938.8*10.8</f>
        <v>42539.040000000008</v>
      </c>
      <c r="C29" s="21">
        <f t="shared" ref="C29:M29" si="11">3938.8*10.8</f>
        <v>42539.040000000008</v>
      </c>
      <c r="D29" s="21">
        <f t="shared" si="11"/>
        <v>42539.040000000008</v>
      </c>
      <c r="E29" s="21">
        <f t="shared" si="11"/>
        <v>42539.040000000008</v>
      </c>
      <c r="F29" s="21">
        <f t="shared" si="11"/>
        <v>42539.040000000008</v>
      </c>
      <c r="G29" s="21">
        <f t="shared" si="11"/>
        <v>42539.040000000008</v>
      </c>
      <c r="H29" s="21">
        <f t="shared" si="11"/>
        <v>42539.040000000008</v>
      </c>
      <c r="I29" s="21">
        <f t="shared" si="11"/>
        <v>42539.040000000008</v>
      </c>
      <c r="J29" s="21">
        <f t="shared" si="11"/>
        <v>42539.040000000008</v>
      </c>
      <c r="K29" s="21">
        <f t="shared" si="11"/>
        <v>42539.040000000008</v>
      </c>
      <c r="L29" s="21">
        <f t="shared" si="11"/>
        <v>42539.040000000008</v>
      </c>
      <c r="M29" s="21">
        <f t="shared" si="11"/>
        <v>42539.040000000008</v>
      </c>
      <c r="N29" s="12">
        <f t="shared" si="10"/>
        <v>510468.48000000021</v>
      </c>
    </row>
    <row r="30" spans="1:14" ht="26.25" customHeight="1" thickBot="1" x14ac:dyDescent="0.3">
      <c r="A30" s="8" t="s">
        <v>18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f t="shared" si="10"/>
        <v>0</v>
      </c>
    </row>
    <row r="31" spans="1:14" ht="26.25" customHeight="1" thickBot="1" x14ac:dyDescent="0.3">
      <c r="A31" s="8" t="s">
        <v>19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145.11000000000001</v>
      </c>
      <c r="I31" s="12">
        <v>633.41</v>
      </c>
      <c r="J31" s="12">
        <v>633.41</v>
      </c>
      <c r="K31" s="12">
        <v>633.41</v>
      </c>
      <c r="L31" s="12">
        <v>633.41</v>
      </c>
      <c r="M31" s="12">
        <v>633.41</v>
      </c>
      <c r="N31" s="12">
        <f t="shared" si="10"/>
        <v>3312.1599999999994</v>
      </c>
    </row>
    <row r="32" spans="1:14" ht="26.25" customHeight="1" thickBot="1" x14ac:dyDescent="0.3">
      <c r="A32" s="8" t="s">
        <v>20</v>
      </c>
      <c r="B32" s="12">
        <v>5345.39</v>
      </c>
      <c r="C32" s="12">
        <v>4295.45</v>
      </c>
      <c r="D32" s="12">
        <v>4742.91</v>
      </c>
      <c r="E32" s="12">
        <v>8697.6</v>
      </c>
      <c r="F32" s="12">
        <v>0</v>
      </c>
      <c r="G32" s="12">
        <v>0</v>
      </c>
      <c r="H32" s="12">
        <v>117.3</v>
      </c>
      <c r="I32" s="12">
        <v>2182.8000000000002</v>
      </c>
      <c r="J32" s="12">
        <v>11117.99</v>
      </c>
      <c r="K32" s="12">
        <v>102.01</v>
      </c>
      <c r="L32" s="12">
        <v>0</v>
      </c>
      <c r="M32" s="12">
        <v>18268.21</v>
      </c>
      <c r="N32" s="12">
        <f t="shared" si="10"/>
        <v>54869.659999999996</v>
      </c>
    </row>
    <row r="33" spans="1:14" ht="23.25" customHeight="1" thickBot="1" x14ac:dyDescent="0.3">
      <c r="A33" s="8" t="s">
        <v>25</v>
      </c>
      <c r="B33" s="12">
        <f>327.72+0</f>
        <v>327.72</v>
      </c>
      <c r="C33" s="12">
        <f t="shared" ref="C33:G33" si="12">327.72+0</f>
        <v>327.72</v>
      </c>
      <c r="D33" s="12">
        <f t="shared" si="12"/>
        <v>327.72</v>
      </c>
      <c r="E33" s="12">
        <f t="shared" si="12"/>
        <v>327.72</v>
      </c>
      <c r="F33" s="12">
        <f t="shared" si="12"/>
        <v>327.72</v>
      </c>
      <c r="G33" s="12">
        <f t="shared" si="12"/>
        <v>327.72</v>
      </c>
      <c r="H33" s="12">
        <f>361.68+0</f>
        <v>361.68</v>
      </c>
      <c r="I33" s="12">
        <f t="shared" ref="I33:M33" si="13">361.68+0</f>
        <v>361.68</v>
      </c>
      <c r="J33" s="12">
        <f t="shared" si="13"/>
        <v>361.68</v>
      </c>
      <c r="K33" s="12">
        <f t="shared" si="13"/>
        <v>361.68</v>
      </c>
      <c r="L33" s="12">
        <f t="shared" si="13"/>
        <v>361.68</v>
      </c>
      <c r="M33" s="12">
        <f t="shared" si="13"/>
        <v>361.68</v>
      </c>
      <c r="N33" s="12">
        <f t="shared" si="10"/>
        <v>4136.3999999999996</v>
      </c>
    </row>
    <row r="34" spans="1:14" ht="22.5" customHeight="1" thickBot="1" x14ac:dyDescent="0.3">
      <c r="A34" s="8" t="s">
        <v>6</v>
      </c>
      <c r="B34" s="21">
        <f t="shared" ref="B34:G34" si="14">3938.8*3.75</f>
        <v>14770.5</v>
      </c>
      <c r="C34" s="21">
        <f t="shared" si="14"/>
        <v>14770.5</v>
      </c>
      <c r="D34" s="21">
        <f t="shared" si="14"/>
        <v>14770.5</v>
      </c>
      <c r="E34" s="21">
        <f t="shared" si="14"/>
        <v>14770.5</v>
      </c>
      <c r="F34" s="21">
        <f t="shared" si="14"/>
        <v>14770.5</v>
      </c>
      <c r="G34" s="21">
        <f t="shared" si="14"/>
        <v>14770.5</v>
      </c>
      <c r="H34" s="21">
        <f>3938.8*4.43</f>
        <v>17448.883999999998</v>
      </c>
      <c r="I34" s="21">
        <f t="shared" ref="I34:M34" si="15">3938.8*4.43</f>
        <v>17448.883999999998</v>
      </c>
      <c r="J34" s="21">
        <f t="shared" si="15"/>
        <v>17448.883999999998</v>
      </c>
      <c r="K34" s="21">
        <f t="shared" si="15"/>
        <v>17448.883999999998</v>
      </c>
      <c r="L34" s="21">
        <f t="shared" si="15"/>
        <v>17448.883999999998</v>
      </c>
      <c r="M34" s="21">
        <f t="shared" si="15"/>
        <v>17448.883999999998</v>
      </c>
      <c r="N34" s="12">
        <f t="shared" si="10"/>
        <v>193316.30399999995</v>
      </c>
    </row>
    <row r="35" spans="1:14" ht="22.5" customHeight="1" thickBot="1" x14ac:dyDescent="0.3">
      <c r="A35" s="8" t="s">
        <v>24</v>
      </c>
      <c r="B35" s="21">
        <f>7021.54*2</f>
        <v>14043.08</v>
      </c>
      <c r="C35" s="21">
        <f>7021.54*2</f>
        <v>14043.08</v>
      </c>
      <c r="D35" s="21">
        <f>7021.54*2</f>
        <v>14043.08</v>
      </c>
      <c r="E35" s="21">
        <f t="shared" ref="E35:M35" si="16">8433.38*2</f>
        <v>16866.759999999998</v>
      </c>
      <c r="F35" s="21">
        <f t="shared" si="16"/>
        <v>16866.759999999998</v>
      </c>
      <c r="G35" s="21">
        <f t="shared" si="16"/>
        <v>16866.759999999998</v>
      </c>
      <c r="H35" s="21">
        <f t="shared" si="16"/>
        <v>16866.759999999998</v>
      </c>
      <c r="I35" s="21">
        <f t="shared" si="16"/>
        <v>16866.759999999998</v>
      </c>
      <c r="J35" s="21">
        <f t="shared" si="16"/>
        <v>16866.759999999998</v>
      </c>
      <c r="K35" s="21">
        <f t="shared" si="16"/>
        <v>16866.759999999998</v>
      </c>
      <c r="L35" s="21">
        <f t="shared" si="16"/>
        <v>16866.759999999998</v>
      </c>
      <c r="M35" s="21">
        <f t="shared" si="16"/>
        <v>16866.759999999998</v>
      </c>
      <c r="N35" s="12">
        <f t="shared" si="10"/>
        <v>193930.08000000002</v>
      </c>
    </row>
    <row r="36" spans="1:14" ht="22.5" customHeight="1" thickBot="1" x14ac:dyDescent="0.3">
      <c r="A36" s="8" t="s">
        <v>27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7800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f t="shared" si="10"/>
        <v>7800</v>
      </c>
    </row>
    <row r="37" spans="1:14" ht="22.5" customHeight="1" thickBot="1" x14ac:dyDescent="0.3">
      <c r="A37" s="8" t="s">
        <v>46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3600</v>
      </c>
      <c r="H37" s="12">
        <v>3600</v>
      </c>
      <c r="I37" s="12">
        <v>3600</v>
      </c>
      <c r="J37" s="12">
        <v>3600</v>
      </c>
      <c r="K37" s="12">
        <v>3600</v>
      </c>
      <c r="L37" s="12">
        <v>3600</v>
      </c>
      <c r="M37" s="12">
        <v>3600</v>
      </c>
      <c r="N37" s="12">
        <f t="shared" si="10"/>
        <v>25200</v>
      </c>
    </row>
    <row r="38" spans="1:14" ht="21.75" customHeight="1" thickBot="1" x14ac:dyDescent="0.3">
      <c r="A38" s="8" t="s">
        <v>31</v>
      </c>
      <c r="B38" s="12">
        <v>3341</v>
      </c>
      <c r="C38" s="12">
        <v>3810</v>
      </c>
      <c r="D38" s="12">
        <v>3556.84</v>
      </c>
      <c r="E38" s="12">
        <v>3579.7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f t="shared" si="10"/>
        <v>14287.54</v>
      </c>
    </row>
    <row r="39" spans="1:14" ht="21.75" customHeight="1" thickBot="1" x14ac:dyDescent="0.3">
      <c r="A39" s="8" t="s">
        <v>32</v>
      </c>
      <c r="B39" s="12">
        <v>499</v>
      </c>
      <c r="C39" s="12">
        <v>570</v>
      </c>
      <c r="D39" s="12">
        <v>531</v>
      </c>
      <c r="E39" s="12">
        <v>535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f t="shared" si="10"/>
        <v>2135</v>
      </c>
    </row>
    <row r="40" spans="1:14" ht="22.8" customHeight="1" thickBot="1" x14ac:dyDescent="0.3">
      <c r="A40" s="8" t="s">
        <v>29</v>
      </c>
      <c r="B40" s="21">
        <f>900</f>
        <v>900</v>
      </c>
      <c r="C40" s="21">
        <f>900</f>
        <v>900</v>
      </c>
      <c r="D40" s="21">
        <f>900</f>
        <v>900</v>
      </c>
      <c r="E40" s="21">
        <f>900</f>
        <v>900</v>
      </c>
      <c r="F40" s="21">
        <f>900</f>
        <v>900</v>
      </c>
      <c r="G40" s="21">
        <f>900</f>
        <v>900</v>
      </c>
      <c r="H40" s="21">
        <f>900</f>
        <v>900</v>
      </c>
      <c r="I40" s="21">
        <f>900</f>
        <v>900</v>
      </c>
      <c r="J40" s="21">
        <f>900</f>
        <v>900</v>
      </c>
      <c r="K40" s="21">
        <f>900</f>
        <v>900</v>
      </c>
      <c r="L40" s="21">
        <f>900</f>
        <v>900</v>
      </c>
      <c r="M40" s="21">
        <f>900</f>
        <v>900</v>
      </c>
      <c r="N40" s="12">
        <f t="shared" si="10"/>
        <v>10800</v>
      </c>
    </row>
    <row r="41" spans="1:14" ht="24" customHeight="1" thickBot="1" x14ac:dyDescent="0.3">
      <c r="A41" s="8" t="s">
        <v>10</v>
      </c>
      <c r="B41" s="12">
        <v>0</v>
      </c>
      <c r="C41" s="12">
        <f>3058.2+125+672.7+520</f>
        <v>4375.8999999999996</v>
      </c>
      <c r="D41" s="12">
        <v>0</v>
      </c>
      <c r="E41" s="12">
        <f>11406.4+2135.9</f>
        <v>13542.3</v>
      </c>
      <c r="F41" s="12">
        <f>2343.6+6190.4+4885.4+4168.8+11354.9+73209.73+4036.2</f>
        <v>106189.02999999998</v>
      </c>
      <c r="G41" s="12">
        <f>32195.9+9065.4</f>
        <v>41261.300000000003</v>
      </c>
      <c r="H41" s="12">
        <f>6821.9+155781.16</f>
        <v>162603.06</v>
      </c>
      <c r="I41" s="12">
        <f>28269.7+22250</f>
        <v>50519.7</v>
      </c>
      <c r="J41" s="12">
        <v>0</v>
      </c>
      <c r="K41" s="12">
        <f>2099.6</f>
        <v>2099.6</v>
      </c>
      <c r="L41" s="12">
        <f>1396.3</f>
        <v>1396.3</v>
      </c>
      <c r="M41" s="12">
        <f>3121.3</f>
        <v>3121.3</v>
      </c>
      <c r="N41" s="12">
        <f t="shared" si="10"/>
        <v>385108.48999999993</v>
      </c>
    </row>
    <row r="42" spans="1:14" ht="22.5" customHeight="1" thickBot="1" x14ac:dyDescent="0.3">
      <c r="A42" s="4" t="s">
        <v>21</v>
      </c>
      <c r="B42" s="11">
        <f t="shared" ref="B42:M42" si="17">SUM(B25:B41)</f>
        <v>90339.422780000008</v>
      </c>
      <c r="C42" s="11">
        <f t="shared" si="17"/>
        <v>94688.690799999997</v>
      </c>
      <c r="D42" s="11">
        <f t="shared" si="17"/>
        <v>90436.918680000002</v>
      </c>
      <c r="E42" s="11">
        <f t="shared" si="17"/>
        <v>110791.86616000001</v>
      </c>
      <c r="F42" s="11">
        <f t="shared" si="17"/>
        <v>190411.67793999999</v>
      </c>
      <c r="G42" s="11">
        <f t="shared" si="17"/>
        <v>128801.10246000001</v>
      </c>
      <c r="H42" s="11">
        <f t="shared" si="17"/>
        <v>261633.26553999999</v>
      </c>
      <c r="I42" s="11">
        <f t="shared" si="17"/>
        <v>144447.67593999999</v>
      </c>
      <c r="J42" s="11">
        <f t="shared" si="17"/>
        <v>103061.6056</v>
      </c>
      <c r="K42" s="11">
        <f t="shared" si="17"/>
        <v>94309.095300000015</v>
      </c>
      <c r="L42" s="11">
        <f t="shared" si="17"/>
        <v>93735.837560000014</v>
      </c>
      <c r="M42" s="11">
        <f t="shared" si="17"/>
        <v>113185.85964000001</v>
      </c>
      <c r="N42" s="11">
        <f>SUM(B42:M42)</f>
        <v>1515843.0183999995</v>
      </c>
    </row>
    <row r="43" spans="1:14" ht="23.25" customHeight="1" thickBot="1" x14ac:dyDescent="0.3">
      <c r="A43" s="5" t="s">
        <v>5</v>
      </c>
      <c r="B43" s="16">
        <f t="shared" ref="B43:N43" si="18">B15-B42</f>
        <v>13383.847219999996</v>
      </c>
      <c r="C43" s="16">
        <f t="shared" si="18"/>
        <v>8406.979199999987</v>
      </c>
      <c r="D43" s="16">
        <f t="shared" si="18"/>
        <v>12530.52132</v>
      </c>
      <c r="E43" s="16">
        <f t="shared" si="18"/>
        <v>-7965.8161600000021</v>
      </c>
      <c r="F43" s="16">
        <f t="shared" si="18"/>
        <v>-90678.957939999993</v>
      </c>
      <c r="G43" s="16">
        <f t="shared" si="18"/>
        <v>-34702.662460000007</v>
      </c>
      <c r="H43" s="16">
        <f t="shared" si="18"/>
        <v>-158672.86553999997</v>
      </c>
      <c r="I43" s="16">
        <f t="shared" si="18"/>
        <v>-36903.195939999976</v>
      </c>
      <c r="J43" s="16">
        <f t="shared" si="18"/>
        <v>9025.2344000000012</v>
      </c>
      <c r="K43" s="16">
        <f t="shared" si="18"/>
        <v>15496.314699999974</v>
      </c>
      <c r="L43" s="16">
        <f t="shared" si="18"/>
        <v>33351.882439999987</v>
      </c>
      <c r="M43" s="16">
        <f t="shared" si="18"/>
        <v>-4116.0296400000225</v>
      </c>
      <c r="N43" s="16">
        <f t="shared" si="18"/>
        <v>-240844.74839999923</v>
      </c>
    </row>
    <row r="44" spans="1:14" ht="23.25" customHeight="1" thickBot="1" x14ac:dyDescent="0.3">
      <c r="A44" s="5" t="s">
        <v>7</v>
      </c>
      <c r="B44" s="14">
        <f t="shared" ref="B44:N44" si="19">B4+B43</f>
        <v>10061.307219999995</v>
      </c>
      <c r="C44" s="14">
        <f t="shared" si="19"/>
        <v>18468.286419999982</v>
      </c>
      <c r="D44" s="14">
        <f t="shared" si="19"/>
        <v>30998.807739999982</v>
      </c>
      <c r="E44" s="14">
        <f t="shared" si="19"/>
        <v>23032.99157999998</v>
      </c>
      <c r="F44" s="14">
        <f t="shared" si="19"/>
        <v>-67645.96636000002</v>
      </c>
      <c r="G44" s="14">
        <f t="shared" si="19"/>
        <v>-102348.62882000003</v>
      </c>
      <c r="H44" s="14">
        <f t="shared" si="19"/>
        <v>-261021.49436000001</v>
      </c>
      <c r="I44" s="14">
        <f t="shared" si="19"/>
        <v>-297924.69030000002</v>
      </c>
      <c r="J44" s="14">
        <f t="shared" si="19"/>
        <v>-288899.4559</v>
      </c>
      <c r="K44" s="14">
        <f t="shared" si="19"/>
        <v>-273403.14120000001</v>
      </c>
      <c r="L44" s="14">
        <f t="shared" si="19"/>
        <v>-240051.25876000003</v>
      </c>
      <c r="M44" s="14">
        <f t="shared" si="19"/>
        <v>-244167.28840000005</v>
      </c>
      <c r="N44" s="14">
        <f t="shared" si="19"/>
        <v>-244167.28839999923</v>
      </c>
    </row>
    <row r="45" spans="1:14" ht="27" customHeight="1" thickBot="1" x14ac:dyDescent="0.3">
      <c r="A45" s="7" t="s">
        <v>11</v>
      </c>
      <c r="B45" s="18">
        <f t="shared" ref="B45:N45" si="20">B5+B15-B6</f>
        <v>-247024.62000000002</v>
      </c>
      <c r="C45" s="18">
        <f t="shared" si="20"/>
        <v>-252770.90000000005</v>
      </c>
      <c r="D45" s="18">
        <f t="shared" si="20"/>
        <v>-257594.44000000006</v>
      </c>
      <c r="E45" s="18">
        <f t="shared" si="20"/>
        <v>-263007.80000000005</v>
      </c>
      <c r="F45" s="18">
        <f t="shared" si="20"/>
        <v>-266829.17000000004</v>
      </c>
      <c r="G45" s="18">
        <f t="shared" si="20"/>
        <v>-271907.24000000005</v>
      </c>
      <c r="H45" s="18">
        <f t="shared" si="20"/>
        <v>-286069.13</v>
      </c>
      <c r="I45" s="18">
        <f t="shared" si="20"/>
        <v>-295894.94</v>
      </c>
      <c r="J45" s="18">
        <f t="shared" si="20"/>
        <v>-303569.5</v>
      </c>
      <c r="K45" s="18">
        <f t="shared" si="20"/>
        <v>-322460.59000000003</v>
      </c>
      <c r="L45" s="18">
        <f t="shared" si="20"/>
        <v>-313053.33</v>
      </c>
      <c r="M45" s="18">
        <f t="shared" si="20"/>
        <v>-321561.99000000005</v>
      </c>
      <c r="N45" s="18">
        <f t="shared" si="20"/>
        <v>-321561.98999999976</v>
      </c>
    </row>
  </sheetData>
  <mergeCells count="2">
    <mergeCell ref="A1:N1"/>
    <mergeCell ref="A2:N2"/>
  </mergeCells>
  <phoneticPr fontId="2" type="noConversion"/>
  <pageMargins left="0.19685039370078741" right="0.19685039370078741" top="0.19685039370078741" bottom="0.19685039370078741" header="0.51181102362204722" footer="0.51181102362204722"/>
  <pageSetup paperSize="9" scale="5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2026-02-12T08:03:16Z</cp:lastPrinted>
  <dcterms:created xsi:type="dcterms:W3CDTF">2011-06-06T03:25:48Z</dcterms:created>
  <dcterms:modified xsi:type="dcterms:W3CDTF">2026-02-12T08:10:12Z</dcterms:modified>
</cp:coreProperties>
</file>