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C43" i="1" l="1"/>
  <c r="N43" i="1"/>
  <c r="C42" i="1"/>
  <c r="D42" i="1"/>
  <c r="E42" i="1"/>
  <c r="F42" i="1"/>
  <c r="G42" i="1"/>
  <c r="H42" i="1"/>
  <c r="I42" i="1"/>
  <c r="J42" i="1"/>
  <c r="K42" i="1"/>
  <c r="L42" i="1"/>
  <c r="M42" i="1"/>
  <c r="N42" i="1"/>
  <c r="M40" i="1" l="1"/>
  <c r="L40" i="1" l="1"/>
  <c r="M38" i="1" l="1"/>
  <c r="L38" i="1"/>
  <c r="K38" i="1" l="1"/>
  <c r="K34" i="1" l="1"/>
  <c r="L34" i="1"/>
  <c r="M34" i="1"/>
  <c r="M29" i="1" l="1"/>
  <c r="M16" i="1"/>
  <c r="M28" i="1"/>
  <c r="M6" i="1"/>
  <c r="L29" i="1" l="1"/>
  <c r="L16" i="1"/>
  <c r="L28" i="1"/>
  <c r="L6" i="1"/>
  <c r="K29" i="1" l="1"/>
  <c r="K16" i="1"/>
  <c r="K28" i="1"/>
  <c r="K6" i="1"/>
  <c r="K35" i="1" l="1"/>
  <c r="L35" i="1"/>
  <c r="M35" i="1"/>
  <c r="K30" i="1"/>
  <c r="L30" i="1"/>
  <c r="M30" i="1"/>
  <c r="K27" i="1"/>
  <c r="L27" i="1"/>
  <c r="M27" i="1"/>
  <c r="K26" i="1"/>
  <c r="L26" i="1"/>
  <c r="M26" i="1"/>
  <c r="J40" i="1" l="1"/>
  <c r="I34" i="1" l="1"/>
  <c r="J34" i="1"/>
  <c r="H34" i="1"/>
  <c r="J38" i="1" l="1"/>
  <c r="I40" i="1" l="1"/>
  <c r="I38" i="1"/>
  <c r="H38" i="1" l="1"/>
  <c r="J29" i="1" l="1"/>
  <c r="J16" i="1"/>
  <c r="J28" i="1"/>
  <c r="J6" i="1"/>
  <c r="I29" i="1" l="1"/>
  <c r="I16" i="1"/>
  <c r="I28" i="1"/>
  <c r="I6" i="1"/>
  <c r="H29" i="1" l="1"/>
  <c r="H16" i="1"/>
  <c r="H28" i="1"/>
  <c r="H6" i="1"/>
  <c r="H30" i="1"/>
  <c r="I30" i="1"/>
  <c r="J30" i="1"/>
  <c r="H27" i="1"/>
  <c r="I27" i="1"/>
  <c r="J27" i="1"/>
  <c r="H26" i="1"/>
  <c r="I26" i="1"/>
  <c r="J26" i="1"/>
  <c r="J35" i="1" l="1"/>
  <c r="H35" i="1"/>
  <c r="I35" i="1"/>
  <c r="E6" i="1" l="1"/>
  <c r="G38" i="1" l="1"/>
  <c r="F38" i="1"/>
  <c r="E38" i="1" l="1"/>
  <c r="E40" i="1" l="1"/>
  <c r="E34" i="1" l="1"/>
  <c r="F34" i="1"/>
  <c r="G34" i="1"/>
  <c r="G29" i="1" l="1"/>
  <c r="G16" i="1"/>
  <c r="G28" i="1"/>
  <c r="G6" i="1"/>
  <c r="F29" i="1" l="1"/>
  <c r="F16" i="1"/>
  <c r="F28" i="1"/>
  <c r="F6" i="1"/>
  <c r="E29" i="1" l="1"/>
  <c r="E16" i="1"/>
  <c r="E28" i="1"/>
  <c r="E35" i="1" l="1"/>
  <c r="F35" i="1"/>
  <c r="G35" i="1"/>
  <c r="E30" i="1"/>
  <c r="F30" i="1"/>
  <c r="G30" i="1"/>
  <c r="E27" i="1"/>
  <c r="F27" i="1"/>
  <c r="G27" i="1"/>
  <c r="E26" i="1"/>
  <c r="F26" i="1"/>
  <c r="G26" i="1"/>
  <c r="C34" i="1" l="1"/>
  <c r="D34" i="1"/>
  <c r="B34" i="1"/>
  <c r="D38" i="1" l="1"/>
  <c r="C38" i="1"/>
  <c r="B38" i="1" l="1"/>
  <c r="D40" i="1" l="1"/>
  <c r="C40" i="1" l="1"/>
  <c r="B40" i="1" l="1"/>
  <c r="D28" i="1" l="1"/>
  <c r="N27" i="1" l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26" i="1"/>
  <c r="C30" i="1"/>
  <c r="D30" i="1"/>
  <c r="B30" i="1"/>
  <c r="C28" i="1"/>
  <c r="D27" i="1"/>
  <c r="C27" i="1"/>
  <c r="N41" i="1" l="1"/>
  <c r="D29" i="1"/>
  <c r="D16" i="1"/>
  <c r="D6" i="1"/>
  <c r="N44" i="1"/>
  <c r="C35" i="1" l="1"/>
  <c r="D35" i="1"/>
  <c r="B35" i="1"/>
  <c r="B27" i="1"/>
  <c r="C26" i="1"/>
  <c r="D26" i="1"/>
  <c r="B26" i="1"/>
  <c r="C29" i="1" l="1"/>
  <c r="C16" i="1"/>
  <c r="C6" i="1"/>
  <c r="B29" i="1" l="1"/>
  <c r="B16" i="1"/>
  <c r="B28" i="1"/>
  <c r="B6" i="1"/>
  <c r="N23" i="1" l="1"/>
  <c r="N13" i="1"/>
  <c r="B15" i="1"/>
  <c r="N22" i="1" l="1"/>
  <c r="N12" i="1"/>
  <c r="G15" i="1" l="1"/>
  <c r="G5" i="1"/>
  <c r="F5" i="1"/>
  <c r="E15" i="1"/>
  <c r="F15" i="1"/>
  <c r="E5" i="1"/>
  <c r="G41" i="1" l="1"/>
  <c r="D15" i="1"/>
  <c r="D41" i="1" s="1"/>
  <c r="D5" i="1"/>
  <c r="C5" i="1"/>
  <c r="C15" i="1"/>
  <c r="B5" i="1"/>
  <c r="N4" i="1" l="1"/>
  <c r="N3" i="1"/>
  <c r="C41" i="1" l="1"/>
  <c r="M15" i="1" l="1"/>
  <c r="L15" i="1"/>
  <c r="L5" i="1"/>
  <c r="N17" i="1"/>
  <c r="N18" i="1"/>
  <c r="N19" i="1"/>
  <c r="N20" i="1"/>
  <c r="N21" i="1"/>
  <c r="N24" i="1"/>
  <c r="K15" i="1"/>
  <c r="N7" i="1"/>
  <c r="N8" i="1"/>
  <c r="N9" i="1"/>
  <c r="N10" i="1"/>
  <c r="N11" i="1"/>
  <c r="N14" i="1"/>
  <c r="M5" i="1"/>
  <c r="M41" i="1" l="1"/>
  <c r="K5" i="1"/>
  <c r="L41" i="1"/>
  <c r="K41" i="1" l="1"/>
  <c r="I15" i="1" l="1"/>
  <c r="H15" i="1"/>
  <c r="J15" i="1"/>
  <c r="J5" i="1"/>
  <c r="N15" i="1" l="1"/>
  <c r="J41" i="1"/>
  <c r="I41" i="1"/>
  <c r="H41" i="1"/>
  <c r="I5" i="1"/>
  <c r="H5" i="1" l="1"/>
  <c r="N5" i="1" s="1"/>
  <c r="N45" i="1" s="1"/>
  <c r="N16" i="1" l="1"/>
  <c r="N6" i="1"/>
  <c r="F41" i="1"/>
  <c r="E41" i="1" l="1"/>
  <c r="B45" i="1"/>
  <c r="C4" i="1" l="1"/>
  <c r="B41" i="1"/>
  <c r="C45" i="1" l="1"/>
  <c r="D4" i="1" s="1"/>
  <c r="D45" i="1" s="1"/>
  <c r="B42" i="1"/>
  <c r="B43" i="1" s="1"/>
  <c r="E4" i="1" l="1"/>
  <c r="E45" i="1" s="1"/>
  <c r="C3" i="1"/>
  <c r="F4" i="1" l="1"/>
  <c r="F45" i="1" s="1"/>
  <c r="D3" i="1"/>
  <c r="D43" i="1" s="1"/>
  <c r="G4" i="1" l="1"/>
  <c r="E3" i="1"/>
  <c r="E43" i="1" l="1"/>
  <c r="F3" i="1" s="1"/>
  <c r="G45" i="1"/>
  <c r="H4" i="1" s="1"/>
  <c r="H45" i="1" s="1"/>
  <c r="I4" i="1" s="1"/>
  <c r="I45" i="1" s="1"/>
  <c r="F43" i="1" l="1"/>
  <c r="G3" i="1" s="1"/>
  <c r="G43" i="1" s="1"/>
  <c r="H3" i="1" s="1"/>
  <c r="H43" i="1" s="1"/>
  <c r="I3" i="1" s="1"/>
  <c r="I43" i="1" s="1"/>
  <c r="J4" i="1"/>
  <c r="J45" i="1" s="1"/>
  <c r="K4" i="1" l="1"/>
  <c r="K45" i="1" s="1"/>
  <c r="J3" i="1"/>
  <c r="J43" i="1" s="1"/>
  <c r="L4" i="1" l="1"/>
  <c r="L45" i="1" s="1"/>
  <c r="K3" i="1"/>
  <c r="K43" i="1" s="1"/>
  <c r="M4" i="1" l="1"/>
  <c r="M45" i="1" s="1"/>
  <c r="L3" i="1"/>
  <c r="L43" i="1" s="1"/>
  <c r="M3" i="1" l="1"/>
  <c r="M43" i="1" s="1"/>
</calcChain>
</file>

<file path=xl/sharedStrings.xml><?xml version="1.0" encoding="utf-8"?>
<sst xmlns="http://schemas.openxmlformats.org/spreadsheetml/2006/main" count="58" uniqueCount="48">
  <si>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</si>
  <si>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</si>
  <si>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</si>
  <si>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</si>
  <si>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</si>
  <si>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</si>
  <si>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</si>
  <si>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</si>
  <si>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</si>
  <si>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</si>
  <si>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</si>
  <si>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</si>
  <si>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</si>
  <si>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</si>
  <si>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</si>
  <si>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</si>
  <si>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</si>
  <si>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</si>
  <si>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</si>
  <si>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</si>
  <si>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</si>
  <si>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</si>
  <si>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</si>
  <si>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</si>
  <si>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</si>
  <si>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</si>
  <si>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Дополнительный доход (использование общего имущества)</t>
  </si>
  <si>
    <t>Диагностика газового оборудования</t>
  </si>
  <si>
    <t>Содержание жилья и текущий ремонт,  ОПУ</t>
  </si>
  <si>
    <t>Содержание жилья и текущий ремонт, ОПУ</t>
  </si>
  <si>
    <t>Прочистка вентиляции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</si>
  <si>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</si>
  <si>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</si>
  <si>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</si>
  <si>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</si>
  <si>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</si>
  <si>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</si>
  <si>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</si>
  <si>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</si>
  <si>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</si>
  <si>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</si>
  <si>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</si>
  <si>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2025г.</t>
  </si>
  <si>
    <t>Ноябрь 2025г.</t>
  </si>
  <si>
    <t>Декабрь 2025г.</t>
  </si>
  <si>
    <t>Всего:                       за  2025г.</t>
  </si>
  <si>
    <t xml:space="preserve">Корректировка задолженности </t>
  </si>
  <si>
    <t>ОТЧЕТ по дому Разина, 74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</si>
</sst>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5" fillId="0" borderId="8" xfId="0" applyNumberFormat="1" applyFont="1" applyBorder="1" applyAlignment="1">
      <alignment horizontal="left" vertical="top" wrapText="1"/>
    </xf>
    <xf numFmtId="164" fontId="6" fillId="0" borderId="5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0" fillId="0" borderId="0" xfId="0" applyFill="1"/>
    <xf numFmtId="164" fontId="5" fillId="0" borderId="3" xfId="0" applyNumberFormat="1" applyFont="1" applyBorder="1" applyAlignment="1">
      <alignment horizontal="left" vertical="top" wrapText="1"/>
    </xf>
    <xf numFmtId="164" fontId="0" fillId="0" borderId="0" xfId="0" applyNumberForma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B33" zoomScale="75" workbookViewId="0">
      <selection activeCell="B43" sqref="B43:N43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4" width="13.33203125" customWidth="1"/>
    <col min="5" max="5" width="13.44140625" customWidth="1"/>
    <col min="6" max="6" width="14.33203125" customWidth="1"/>
    <col min="7" max="7" width="13.5546875" customWidth="1"/>
    <col min="8" max="12" width="14.33203125" customWidth="1"/>
    <col min="13" max="13" width="13.77734375" customWidth="1"/>
    <col min="14" max="14" width="14.5546875" customWidth="1"/>
  </cols>
  <sheetData>
    <row r="1" spans="1:16" ht="20.25" customHeight="1" thickBot="1" x14ac:dyDescent="0.45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45.75" customHeight="1" thickBot="1" x14ac:dyDescent="0.3">
      <c r="A2" s="1" t="s">
        <v>0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</row>
    <row r="3" spans="1:16" ht="23.25" customHeight="1" thickBot="1" x14ac:dyDescent="0.3">
      <c r="A3" s="3" t="s">
        <v>15</v>
      </c>
      <c r="B3" s="11">
        <v>-422647.1</v>
      </c>
      <c r="C3" s="11">
        <f>B43</f>
        <v>-341686.01459000004</v>
      </c>
      <c r="D3" s="11">
        <f>C43</f>
        <v>-327599.45277000003</v>
      </c>
      <c r="E3" s="11">
        <f t="shared" ref="E3" si="0">D43</f>
        <v>-315360.63435000001</v>
      </c>
      <c r="F3" s="11">
        <f t="shared" ref="F3" si="1">E43</f>
        <v>-360606.92083000002</v>
      </c>
      <c r="G3" s="11">
        <f t="shared" ref="G3" si="2">F43</f>
        <v>-343536.02729</v>
      </c>
      <c r="H3" s="11">
        <f t="shared" ref="H3" si="3">G43</f>
        <v>-321053.80842999998</v>
      </c>
      <c r="I3" s="11">
        <f t="shared" ref="I3" si="4">H43</f>
        <v>-300861.59168999997</v>
      </c>
      <c r="J3" s="11">
        <f t="shared" ref="J3" si="5">I43</f>
        <v>-278722.26466999995</v>
      </c>
      <c r="K3" s="11">
        <f t="shared" ref="K3" si="6">J43</f>
        <v>-260336.57499999995</v>
      </c>
      <c r="L3" s="11">
        <f t="shared" ref="L3" si="7">K43</f>
        <v>-254127.32829999994</v>
      </c>
      <c r="M3" s="11">
        <f t="shared" ref="M3" si="8">L43</f>
        <v>-212448.34789999994</v>
      </c>
      <c r="N3" s="11">
        <f>B3</f>
        <v>-422647.1</v>
      </c>
    </row>
    <row r="4" spans="1:16" ht="21" customHeight="1" thickBot="1" x14ac:dyDescent="0.3">
      <c r="A4" s="3" t="s">
        <v>13</v>
      </c>
      <c r="B4" s="11">
        <v>-381475.14</v>
      </c>
      <c r="C4" s="11">
        <f t="shared" ref="C4:M4" si="9">B45</f>
        <v>-300024.94000000006</v>
      </c>
      <c r="D4" s="11">
        <f t="shared" si="9"/>
        <v>-298741.59000000008</v>
      </c>
      <c r="E4" s="11">
        <f t="shared" si="9"/>
        <v>-300706.3000000001</v>
      </c>
      <c r="F4" s="11">
        <f t="shared" si="9"/>
        <v>-298879.34000000008</v>
      </c>
      <c r="G4" s="11">
        <f t="shared" si="9"/>
        <v>-313383.77000000008</v>
      </c>
      <c r="H4" s="11">
        <f t="shared" si="9"/>
        <v>-308848.78000000009</v>
      </c>
      <c r="I4" s="11">
        <f t="shared" si="9"/>
        <v>-309733.25000000012</v>
      </c>
      <c r="J4" s="11">
        <f t="shared" si="9"/>
        <v>-304619.34000000008</v>
      </c>
      <c r="K4" s="11">
        <f t="shared" si="9"/>
        <v>-305980.46000000008</v>
      </c>
      <c r="L4" s="11">
        <f t="shared" si="9"/>
        <v>-323019.99000000005</v>
      </c>
      <c r="M4" s="11">
        <f t="shared" si="9"/>
        <v>-313364.99000000005</v>
      </c>
      <c r="N4" s="11">
        <f>B4</f>
        <v>-381475.14</v>
      </c>
    </row>
    <row r="5" spans="1:16" ht="20.25" customHeight="1" thickBot="1" x14ac:dyDescent="0.3">
      <c r="A5" s="4" t="s">
        <v>12</v>
      </c>
      <c r="B5" s="12">
        <f>SUM(B6:B14)</f>
        <v>84121.03</v>
      </c>
      <c r="C5" s="12">
        <f t="shared" ref="C5:D5" si="10">SUM(C6:C14)</f>
        <v>84121.03</v>
      </c>
      <c r="D5" s="12">
        <f t="shared" si="10"/>
        <v>84121.03</v>
      </c>
      <c r="E5" s="12">
        <f>SUM(E6:E14)</f>
        <v>84121.03</v>
      </c>
      <c r="F5" s="12">
        <f t="shared" ref="F5:G5" si="11">SUM(F6:F14)</f>
        <v>106199.81</v>
      </c>
      <c r="G5" s="12">
        <f t="shared" si="11"/>
        <v>91738.240000000005</v>
      </c>
      <c r="H5" s="12">
        <f>SUM(H6:H14)</f>
        <v>91287.81</v>
      </c>
      <c r="I5" s="12">
        <f t="shared" ref="I5:M5" si="12">SUM(I6:I14)</f>
        <v>87411.53</v>
      </c>
      <c r="J5" s="12">
        <f t="shared" si="12"/>
        <v>110729.43999999999</v>
      </c>
      <c r="K5" s="12">
        <f t="shared" si="12"/>
        <v>118179.44999999998</v>
      </c>
      <c r="L5" s="12">
        <f t="shared" si="12"/>
        <v>104842.84999999999</v>
      </c>
      <c r="M5" s="12">
        <f t="shared" si="12"/>
        <v>110429.43999999999</v>
      </c>
      <c r="N5" s="12">
        <f>SUM(B5:M5)</f>
        <v>1157302.69</v>
      </c>
    </row>
    <row r="6" spans="1:16" ht="21" customHeight="1" thickBot="1" x14ac:dyDescent="0.3">
      <c r="A6" s="8" t="s">
        <v>28</v>
      </c>
      <c r="B6" s="13">
        <f>74254.34+1482.28</f>
        <v>75736.62</v>
      </c>
      <c r="C6" s="13">
        <f>74254.34+1482.28</f>
        <v>75736.62</v>
      </c>
      <c r="D6" s="13">
        <f>74254.34+1482.28</f>
        <v>75736.62</v>
      </c>
      <c r="E6" s="13">
        <f>74254.34+1482.28</f>
        <v>75736.62</v>
      </c>
      <c r="F6" s="13">
        <f>74254.34+1482.28</f>
        <v>75736.62</v>
      </c>
      <c r="G6" s="13">
        <f>1482.28+74254.34</f>
        <v>75736.62</v>
      </c>
      <c r="H6" s="13">
        <f>74254.34+1482.28</f>
        <v>75736.62</v>
      </c>
      <c r="I6" s="13">
        <f>1477.79+74029.22</f>
        <v>75507.009999999995</v>
      </c>
      <c r="J6" s="13">
        <f>100840.23+1477.79</f>
        <v>102318.01999999999</v>
      </c>
      <c r="K6" s="13">
        <f>100840.23+1477.79</f>
        <v>102318.01999999999</v>
      </c>
      <c r="L6" s="13">
        <f>95560.78+1400.41</f>
        <v>96961.19</v>
      </c>
      <c r="M6" s="13">
        <f>1477.79+100840.23</f>
        <v>102318.01999999999</v>
      </c>
      <c r="N6" s="13">
        <f>SUM(B6:M6)</f>
        <v>1009578.6000000001</v>
      </c>
    </row>
    <row r="7" spans="1:16" ht="21.75" customHeight="1" thickBot="1" x14ac:dyDescent="0.3">
      <c r="A7" s="8" t="s">
        <v>16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f t="shared" ref="N7:N14" si="13">SUM(B7:M7)</f>
        <v>0</v>
      </c>
    </row>
    <row r="8" spans="1:16" ht="18.75" customHeight="1" thickBot="1" x14ac:dyDescent="0.3">
      <c r="A8" s="8" t="s">
        <v>17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f t="shared" si="13"/>
        <v>0</v>
      </c>
    </row>
    <row r="9" spans="1:16" ht="18.75" customHeight="1" thickBot="1" x14ac:dyDescent="0.3">
      <c r="A9" s="8" t="s">
        <v>18</v>
      </c>
      <c r="B9" s="13">
        <v>0</v>
      </c>
      <c r="C9" s="13">
        <v>0</v>
      </c>
      <c r="D9" s="13">
        <v>0</v>
      </c>
      <c r="E9" s="13">
        <v>0</v>
      </c>
      <c r="F9" s="13">
        <v>22078.78</v>
      </c>
      <c r="G9" s="13">
        <v>7617.21</v>
      </c>
      <c r="H9" s="13">
        <v>7166.78</v>
      </c>
      <c r="I9" s="13">
        <v>3493.1</v>
      </c>
      <c r="J9" s="13">
        <v>0</v>
      </c>
      <c r="K9" s="13">
        <v>7750.01</v>
      </c>
      <c r="L9" s="13">
        <v>0</v>
      </c>
      <c r="M9" s="13">
        <v>0</v>
      </c>
      <c r="N9" s="13">
        <f t="shared" si="13"/>
        <v>48105.88</v>
      </c>
    </row>
    <row r="10" spans="1:16" ht="18.75" customHeight="1" thickBot="1" x14ac:dyDescent="0.3">
      <c r="A10" s="8" t="s">
        <v>25</v>
      </c>
      <c r="B10" s="13">
        <v>260.41000000000003</v>
      </c>
      <c r="C10" s="13">
        <v>260.41000000000003</v>
      </c>
      <c r="D10" s="13">
        <v>260.41000000000003</v>
      </c>
      <c r="E10" s="13">
        <v>260.41000000000003</v>
      </c>
      <c r="F10" s="13">
        <v>260.41000000000003</v>
      </c>
      <c r="G10" s="13">
        <v>260.41000000000003</v>
      </c>
      <c r="H10" s="13">
        <v>260.41000000000003</v>
      </c>
      <c r="I10" s="13">
        <v>287.42</v>
      </c>
      <c r="J10" s="13">
        <v>287.42</v>
      </c>
      <c r="K10" s="13">
        <v>287.42</v>
      </c>
      <c r="L10" s="13">
        <v>272.37</v>
      </c>
      <c r="M10" s="13">
        <v>287.42</v>
      </c>
      <c r="N10" s="13">
        <f t="shared" si="13"/>
        <v>3244.9200000000005</v>
      </c>
    </row>
    <row r="11" spans="1:16" ht="18.75" customHeight="1" thickBot="1" x14ac:dyDescent="0.3">
      <c r="A11" s="8" t="s">
        <v>31</v>
      </c>
      <c r="B11" s="13">
        <v>4224</v>
      </c>
      <c r="C11" s="13">
        <v>4224</v>
      </c>
      <c r="D11" s="13">
        <v>4224</v>
      </c>
      <c r="E11" s="13">
        <v>4224</v>
      </c>
      <c r="F11" s="13">
        <v>4224</v>
      </c>
      <c r="G11" s="13">
        <v>4224</v>
      </c>
      <c r="H11" s="13">
        <v>4224</v>
      </c>
      <c r="I11" s="13">
        <v>4224</v>
      </c>
      <c r="J11" s="13">
        <v>4224</v>
      </c>
      <c r="K11" s="13">
        <v>4224</v>
      </c>
      <c r="L11" s="13">
        <v>4009.29</v>
      </c>
      <c r="M11" s="13">
        <v>4224</v>
      </c>
      <c r="N11" s="13">
        <f t="shared" si="13"/>
        <v>50473.29</v>
      </c>
    </row>
    <row r="12" spans="1:16" ht="18.75" hidden="1" customHeight="1" thickBot="1" x14ac:dyDescent="0.3">
      <c r="A12" s="22" t="s">
        <v>27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>
        <f t="shared" si="13"/>
        <v>0</v>
      </c>
    </row>
    <row r="13" spans="1:16" ht="18.75" hidden="1" customHeight="1" thickBot="1" x14ac:dyDescent="0.3">
      <c r="A13" s="22" t="s">
        <v>30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>
        <f t="shared" si="13"/>
        <v>0</v>
      </c>
    </row>
    <row r="14" spans="1:16" ht="18.75" customHeight="1" thickBot="1" x14ac:dyDescent="0.3">
      <c r="A14" s="8" t="s">
        <v>26</v>
      </c>
      <c r="B14" s="13">
        <v>3900</v>
      </c>
      <c r="C14" s="13">
        <v>3900</v>
      </c>
      <c r="D14" s="13">
        <v>3900</v>
      </c>
      <c r="E14" s="13">
        <v>3900</v>
      </c>
      <c r="F14" s="13">
        <v>3900</v>
      </c>
      <c r="G14" s="13">
        <v>3900</v>
      </c>
      <c r="H14" s="13">
        <v>3900</v>
      </c>
      <c r="I14" s="13">
        <v>3900</v>
      </c>
      <c r="J14" s="13">
        <v>3900</v>
      </c>
      <c r="K14" s="13">
        <v>3600</v>
      </c>
      <c r="L14" s="13">
        <v>3600</v>
      </c>
      <c r="M14" s="13">
        <v>3600</v>
      </c>
      <c r="N14" s="13">
        <f t="shared" si="13"/>
        <v>45900</v>
      </c>
    </row>
    <row r="15" spans="1:16" ht="20.25" customHeight="1" thickBot="1" x14ac:dyDescent="0.3">
      <c r="A15" s="6" t="s">
        <v>8</v>
      </c>
      <c r="B15" s="14">
        <f>SUM(B16:B24)</f>
        <v>165571.22999999995</v>
      </c>
      <c r="C15" s="14">
        <f t="shared" ref="C15:G15" si="14">SUM(C16:C24)</f>
        <v>85404.380000000019</v>
      </c>
      <c r="D15" s="14">
        <f t="shared" si="14"/>
        <v>78540.160000000018</v>
      </c>
      <c r="E15" s="14">
        <f t="shared" si="14"/>
        <v>85947.99</v>
      </c>
      <c r="F15" s="14">
        <f t="shared" si="14"/>
        <v>91695.38</v>
      </c>
      <c r="G15" s="14">
        <f t="shared" si="14"/>
        <v>96273.23000000001</v>
      </c>
      <c r="H15" s="14">
        <f>SUM(H16:H24)</f>
        <v>90403.34</v>
      </c>
      <c r="I15" s="14">
        <f t="shared" ref="I15:M15" si="15">SUM(I16:I24)</f>
        <v>92525.439999999988</v>
      </c>
      <c r="J15" s="14">
        <f t="shared" si="15"/>
        <v>109368.31999999999</v>
      </c>
      <c r="K15" s="14">
        <f t="shared" si="15"/>
        <v>101139.92000000001</v>
      </c>
      <c r="L15" s="14">
        <f t="shared" si="15"/>
        <v>114497.84999999999</v>
      </c>
      <c r="M15" s="14">
        <f t="shared" si="15"/>
        <v>152567.73999999996</v>
      </c>
      <c r="N15" s="14">
        <f>SUM(B15:M15)</f>
        <v>1263934.98</v>
      </c>
    </row>
    <row r="16" spans="1:16" ht="21" customHeight="1" thickBot="1" x14ac:dyDescent="0.3">
      <c r="A16" s="8" t="s">
        <v>29</v>
      </c>
      <c r="B16" s="13">
        <f>150251.06+1997.73+2.86+112.77+122.9</f>
        <v>152487.31999999998</v>
      </c>
      <c r="C16" s="13">
        <f>75893.95+1432.71+1.86+10.66</f>
        <v>77339.180000000008</v>
      </c>
      <c r="D16" s="13">
        <f>69825.86+1241.63+1.35+0.5+8.24</f>
        <v>71077.580000000016</v>
      </c>
      <c r="E16" s="13">
        <f>1447.59+76492.16+3.52+20.21</f>
        <v>77963.48000000001</v>
      </c>
      <c r="F16" s="13">
        <f>82336.16+1498.11</f>
        <v>83834.27</v>
      </c>
      <c r="G16" s="13">
        <f>1657.16+71299.85</f>
        <v>72957.010000000009</v>
      </c>
      <c r="H16" s="13">
        <f>74069.57+1431.91</f>
        <v>75501.48000000001</v>
      </c>
      <c r="I16" s="13">
        <f>1494.18+73699.38+31.93</f>
        <v>75225.489999999991</v>
      </c>
      <c r="J16" s="13">
        <f>94908.88+1637.87</f>
        <v>96546.75</v>
      </c>
      <c r="K16" s="13">
        <f>91209.42+1668.92</f>
        <v>92878.34</v>
      </c>
      <c r="L16" s="13">
        <f>98439.76+1451.29</f>
        <v>99891.049999999988</v>
      </c>
      <c r="M16" s="13">
        <f>1816.15+139307.36</f>
        <v>141123.50999999998</v>
      </c>
      <c r="N16" s="13">
        <f>SUM(B16:M16)</f>
        <v>1116825.46</v>
      </c>
    </row>
    <row r="17" spans="1:14" ht="22.5" customHeight="1" thickBot="1" x14ac:dyDescent="0.3">
      <c r="A17" s="8" t="s">
        <v>16</v>
      </c>
      <c r="B17" s="13">
        <v>217.12</v>
      </c>
      <c r="C17" s="13">
        <v>8.1</v>
      </c>
      <c r="D17" s="13">
        <v>9.0500000000000007</v>
      </c>
      <c r="E17" s="13">
        <v>3.06</v>
      </c>
      <c r="F17" s="13">
        <v>0</v>
      </c>
      <c r="G17" s="13">
        <v>5.4</v>
      </c>
      <c r="H17" s="13">
        <v>5.01</v>
      </c>
      <c r="I17" s="13">
        <v>4.88</v>
      </c>
      <c r="J17" s="13">
        <v>4.76</v>
      </c>
      <c r="K17" s="13">
        <v>6.27</v>
      </c>
      <c r="L17" s="13">
        <v>6.97</v>
      </c>
      <c r="M17" s="13">
        <v>160.11000000000001</v>
      </c>
      <c r="N17" s="13">
        <f t="shared" ref="N17:N24" si="16">SUM(B17:M17)</f>
        <v>430.73</v>
      </c>
    </row>
    <row r="18" spans="1:14" ht="21" customHeight="1" thickBot="1" x14ac:dyDescent="0.3">
      <c r="A18" s="8" t="s">
        <v>17</v>
      </c>
      <c r="B18" s="13">
        <v>0.27</v>
      </c>
      <c r="C18" s="13">
        <v>0.06</v>
      </c>
      <c r="D18" s="13">
        <v>0.06</v>
      </c>
      <c r="E18" s="13">
        <v>0.11</v>
      </c>
      <c r="F18" s="13">
        <v>0</v>
      </c>
      <c r="G18" s="13">
        <v>0.04</v>
      </c>
      <c r="H18" s="13">
        <v>0.04</v>
      </c>
      <c r="I18" s="13">
        <v>0.04</v>
      </c>
      <c r="J18" s="13">
        <v>0.04</v>
      </c>
      <c r="K18" s="13">
        <v>0.05</v>
      </c>
      <c r="L18" s="13">
        <v>0.05</v>
      </c>
      <c r="M18" s="13">
        <v>0</v>
      </c>
      <c r="N18" s="13">
        <f t="shared" si="16"/>
        <v>0.76000000000000023</v>
      </c>
    </row>
    <row r="19" spans="1:14" ht="21" customHeight="1" thickBot="1" x14ac:dyDescent="0.3">
      <c r="A19" s="9" t="s">
        <v>18</v>
      </c>
      <c r="B19" s="15">
        <v>2872.37</v>
      </c>
      <c r="C19" s="15">
        <v>207.08</v>
      </c>
      <c r="D19" s="15">
        <v>199.36</v>
      </c>
      <c r="E19" s="15">
        <v>179.38</v>
      </c>
      <c r="F19" s="15">
        <v>177.74</v>
      </c>
      <c r="G19" s="15">
        <v>15304.49</v>
      </c>
      <c r="H19" s="15">
        <v>7138.84</v>
      </c>
      <c r="I19" s="15">
        <v>6971.26</v>
      </c>
      <c r="J19" s="15">
        <v>4211.6499999999996</v>
      </c>
      <c r="K19" s="16">
        <v>508.13</v>
      </c>
      <c r="L19" s="17">
        <v>6780.56</v>
      </c>
      <c r="M19" s="17">
        <v>2232.04</v>
      </c>
      <c r="N19" s="13">
        <f t="shared" si="16"/>
        <v>46782.899999999994</v>
      </c>
    </row>
    <row r="20" spans="1:14" ht="21" customHeight="1" thickBot="1" x14ac:dyDescent="0.3">
      <c r="A20" s="10" t="s">
        <v>25</v>
      </c>
      <c r="B20" s="16">
        <v>492.99</v>
      </c>
      <c r="C20" s="16">
        <v>43.75</v>
      </c>
      <c r="D20" s="16">
        <v>45.96</v>
      </c>
      <c r="E20" s="17">
        <v>48.51</v>
      </c>
      <c r="F20" s="17">
        <v>74.37</v>
      </c>
      <c r="G20" s="16">
        <v>142.58000000000001</v>
      </c>
      <c r="H20" s="16">
        <v>256.37</v>
      </c>
      <c r="I20" s="17">
        <v>256.57</v>
      </c>
      <c r="J20" s="16">
        <v>375.27</v>
      </c>
      <c r="K20" s="13">
        <v>266.24</v>
      </c>
      <c r="L20" s="13">
        <v>289.89</v>
      </c>
      <c r="M20" s="13">
        <v>499.37</v>
      </c>
      <c r="N20" s="13">
        <f t="shared" si="16"/>
        <v>2791.87</v>
      </c>
    </row>
    <row r="21" spans="1:14" ht="21" customHeight="1" thickBot="1" x14ac:dyDescent="0.3">
      <c r="A21" s="21" t="s">
        <v>31</v>
      </c>
      <c r="B21" s="18">
        <v>5901.16</v>
      </c>
      <c r="C21" s="18">
        <v>4206.21</v>
      </c>
      <c r="D21" s="16">
        <v>3608.15</v>
      </c>
      <c r="E21" s="17">
        <v>4153.45</v>
      </c>
      <c r="F21" s="17">
        <v>4009</v>
      </c>
      <c r="G21" s="16">
        <v>4263.71</v>
      </c>
      <c r="H21" s="13">
        <v>3901.6</v>
      </c>
      <c r="I21" s="13">
        <v>4067.2</v>
      </c>
      <c r="J21" s="26">
        <v>4629.8500000000004</v>
      </c>
      <c r="K21" s="13">
        <v>3880.89</v>
      </c>
      <c r="L21" s="13">
        <v>3929.33</v>
      </c>
      <c r="M21" s="13">
        <v>4952.71</v>
      </c>
      <c r="N21" s="13">
        <f t="shared" si="16"/>
        <v>51503.259999999995</v>
      </c>
    </row>
    <row r="22" spans="1:14" ht="21" hidden="1" customHeight="1" thickBot="1" x14ac:dyDescent="0.3">
      <c r="A22" s="22" t="s">
        <v>27</v>
      </c>
      <c r="B22" s="18"/>
      <c r="C22" s="18"/>
      <c r="D22" s="16"/>
      <c r="E22" s="18"/>
      <c r="F22" s="18"/>
      <c r="G22" s="16"/>
      <c r="H22" s="13"/>
      <c r="I22" s="13"/>
      <c r="J22" s="16"/>
      <c r="K22" s="13"/>
      <c r="L22" s="13"/>
      <c r="M22" s="13"/>
      <c r="N22" s="13">
        <f t="shared" si="16"/>
        <v>0</v>
      </c>
    </row>
    <row r="23" spans="1:14" ht="21" hidden="1" customHeight="1" thickBot="1" x14ac:dyDescent="0.3">
      <c r="A23" s="22" t="s">
        <v>30</v>
      </c>
      <c r="B23" s="18"/>
      <c r="C23" s="18"/>
      <c r="D23" s="16"/>
      <c r="E23" s="16"/>
      <c r="F23" s="16"/>
      <c r="G23" s="17"/>
      <c r="H23" s="13"/>
      <c r="I23" s="13"/>
      <c r="J23" s="26"/>
      <c r="K23" s="13"/>
      <c r="L23" s="13"/>
      <c r="M23" s="13"/>
      <c r="N23" s="13">
        <f t="shared" si="16"/>
        <v>0</v>
      </c>
    </row>
    <row r="24" spans="1:14" ht="21" customHeight="1" thickBot="1" x14ac:dyDescent="0.3">
      <c r="A24" s="8" t="s">
        <v>26</v>
      </c>
      <c r="B24" s="18">
        <v>3600</v>
      </c>
      <c r="C24" s="16">
        <v>3600</v>
      </c>
      <c r="D24" s="16">
        <v>3600</v>
      </c>
      <c r="E24" s="16">
        <v>3600</v>
      </c>
      <c r="F24" s="16">
        <v>3600</v>
      </c>
      <c r="G24" s="16">
        <v>3600</v>
      </c>
      <c r="H24" s="16">
        <v>3600</v>
      </c>
      <c r="I24" s="16">
        <v>6000</v>
      </c>
      <c r="J24" s="16">
        <v>3600</v>
      </c>
      <c r="K24" s="16">
        <v>3600</v>
      </c>
      <c r="L24" s="16">
        <v>3600</v>
      </c>
      <c r="M24" s="16">
        <v>3600</v>
      </c>
      <c r="N24" s="13">
        <f t="shared" si="16"/>
        <v>45600</v>
      </c>
    </row>
    <row r="25" spans="1:14" ht="21.75" customHeight="1" thickBot="1" x14ac:dyDescent="0.3">
      <c r="A25" s="7" t="s">
        <v>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</row>
    <row r="26" spans="1:14" ht="19.5" customHeight="1" thickBot="1" x14ac:dyDescent="0.3">
      <c r="A26" s="8" t="s">
        <v>1</v>
      </c>
      <c r="B26" s="13">
        <f>3529.2*0.6</f>
        <v>2117.52</v>
      </c>
      <c r="C26" s="13">
        <f t="shared" ref="C26:M26" si="17">3529.2*0.6</f>
        <v>2117.52</v>
      </c>
      <c r="D26" s="13">
        <f t="shared" si="17"/>
        <v>2117.52</v>
      </c>
      <c r="E26" s="13">
        <f t="shared" si="17"/>
        <v>2117.52</v>
      </c>
      <c r="F26" s="13">
        <f t="shared" si="17"/>
        <v>2117.52</v>
      </c>
      <c r="G26" s="13">
        <f t="shared" si="17"/>
        <v>2117.52</v>
      </c>
      <c r="H26" s="13">
        <f t="shared" si="17"/>
        <v>2117.52</v>
      </c>
      <c r="I26" s="13">
        <f t="shared" si="17"/>
        <v>2117.52</v>
      </c>
      <c r="J26" s="13">
        <f t="shared" si="17"/>
        <v>2117.52</v>
      </c>
      <c r="K26" s="13">
        <f t="shared" si="17"/>
        <v>2117.52</v>
      </c>
      <c r="L26" s="13">
        <f t="shared" si="17"/>
        <v>2117.52</v>
      </c>
      <c r="M26" s="13">
        <f t="shared" si="17"/>
        <v>2117.52</v>
      </c>
      <c r="N26" s="13">
        <f>SUM(B26:M26)</f>
        <v>25410.240000000002</v>
      </c>
    </row>
    <row r="27" spans="1:14" ht="22.5" customHeight="1" thickBot="1" x14ac:dyDescent="0.3">
      <c r="A27" s="8" t="s">
        <v>2</v>
      </c>
      <c r="B27" s="13">
        <f>3529.2*0.17</f>
        <v>599.96400000000006</v>
      </c>
      <c r="C27" s="13">
        <f>3529.2*0.2</f>
        <v>705.84</v>
      </c>
      <c r="D27" s="13">
        <f>3529.2*0.2</f>
        <v>705.84</v>
      </c>
      <c r="E27" s="13">
        <f t="shared" ref="E27:M27" si="18">3529.2*0.2</f>
        <v>705.84</v>
      </c>
      <c r="F27" s="13">
        <f t="shared" si="18"/>
        <v>705.84</v>
      </c>
      <c r="G27" s="13">
        <f t="shared" si="18"/>
        <v>705.84</v>
      </c>
      <c r="H27" s="13">
        <f t="shared" si="18"/>
        <v>705.84</v>
      </c>
      <c r="I27" s="13">
        <f t="shared" si="18"/>
        <v>705.84</v>
      </c>
      <c r="J27" s="13">
        <f t="shared" si="18"/>
        <v>705.84</v>
      </c>
      <c r="K27" s="13">
        <f t="shared" si="18"/>
        <v>705.84</v>
      </c>
      <c r="L27" s="13">
        <f t="shared" si="18"/>
        <v>705.84</v>
      </c>
      <c r="M27" s="13">
        <f t="shared" si="18"/>
        <v>705.84</v>
      </c>
      <c r="N27" s="13">
        <f t="shared" ref="N27:N40" si="19">SUM(B27:M27)</f>
        <v>8364.2040000000015</v>
      </c>
    </row>
    <row r="28" spans="1:14" ht="21" customHeight="1" thickBot="1" x14ac:dyDescent="0.3">
      <c r="A28" s="8" t="s">
        <v>3</v>
      </c>
      <c r="B28" s="13">
        <f>80221.03*2.3%</f>
        <v>1845.0836899999999</v>
      </c>
      <c r="C28" s="13">
        <f>80221.03*2.6%</f>
        <v>2085.7467799999999</v>
      </c>
      <c r="D28" s="13">
        <f>80221.03*2.6%</f>
        <v>2085.7467799999999</v>
      </c>
      <c r="E28" s="13">
        <f>80221.03*2.6%</f>
        <v>2085.7467799999999</v>
      </c>
      <c r="F28" s="13">
        <f>102299.81*2.6%</f>
        <v>2659.7950600000004</v>
      </c>
      <c r="G28" s="13">
        <f>87838.24*2.6%</f>
        <v>2283.7942400000002</v>
      </c>
      <c r="H28" s="13">
        <f>87387.81*2.6%</f>
        <v>2272.0830599999999</v>
      </c>
      <c r="I28" s="13">
        <f>83511.53*2.6%</f>
        <v>2171.2997800000003</v>
      </c>
      <c r="J28" s="13">
        <f>106829.44*2.6%</f>
        <v>2777.5654400000003</v>
      </c>
      <c r="K28" s="13">
        <f>114579.45*2.6%</f>
        <v>2979.0657000000001</v>
      </c>
      <c r="L28" s="13">
        <f>101242.85*2.6%</f>
        <v>2632.3141000000005</v>
      </c>
      <c r="M28" s="13">
        <f>106829.44*2.6%</f>
        <v>2777.5654400000003</v>
      </c>
      <c r="N28" s="13">
        <f t="shared" si="19"/>
        <v>28655.806850000001</v>
      </c>
    </row>
    <row r="29" spans="1:14" ht="23.25" customHeight="1" thickBot="1" x14ac:dyDescent="0.3">
      <c r="A29" s="8" t="s">
        <v>4</v>
      </c>
      <c r="B29" s="13">
        <f>161971.23*3%</f>
        <v>4859.1369000000004</v>
      </c>
      <c r="C29" s="13">
        <f>81804.38*3%</f>
        <v>2454.1314000000002</v>
      </c>
      <c r="D29" s="13">
        <f>74940.16*3%</f>
        <v>2248.2048</v>
      </c>
      <c r="E29" s="13">
        <f>82347.99*3%</f>
        <v>2470.4396999999999</v>
      </c>
      <c r="F29" s="13">
        <f>88095.38*3%</f>
        <v>2642.8614000000002</v>
      </c>
      <c r="G29" s="13">
        <f>92673.23*3%</f>
        <v>2780.1968999999999</v>
      </c>
      <c r="H29" s="13">
        <f>86803.34*3%</f>
        <v>2604.1001999999999</v>
      </c>
      <c r="I29" s="13">
        <f>86525.44*3%</f>
        <v>2595.7631999999999</v>
      </c>
      <c r="J29" s="13">
        <f>105768.32*3%</f>
        <v>3173.0496000000003</v>
      </c>
      <c r="K29" s="13">
        <f>97539.92*3%</f>
        <v>2926.1976</v>
      </c>
      <c r="L29" s="13">
        <f>110897.85*3%</f>
        <v>3326.9355</v>
      </c>
      <c r="M29" s="13">
        <f>148967.74*3%</f>
        <v>4469.0321999999996</v>
      </c>
      <c r="N29" s="13">
        <f t="shared" si="19"/>
        <v>36550.049400000004</v>
      </c>
    </row>
    <row r="30" spans="1:14" ht="23.25" customHeight="1" thickBot="1" x14ac:dyDescent="0.3">
      <c r="A30" s="8" t="s">
        <v>9</v>
      </c>
      <c r="B30" s="13">
        <f>3529.2*12</f>
        <v>42350.399999999994</v>
      </c>
      <c r="C30" s="13">
        <f t="shared" ref="C30:M30" si="20">3529.2*12</f>
        <v>42350.399999999994</v>
      </c>
      <c r="D30" s="13">
        <f t="shared" si="20"/>
        <v>42350.399999999994</v>
      </c>
      <c r="E30" s="13">
        <f t="shared" si="20"/>
        <v>42350.399999999994</v>
      </c>
      <c r="F30" s="13">
        <f t="shared" si="20"/>
        <v>42350.399999999994</v>
      </c>
      <c r="G30" s="13">
        <f t="shared" si="20"/>
        <v>42350.399999999994</v>
      </c>
      <c r="H30" s="13">
        <f t="shared" si="20"/>
        <v>42350.399999999994</v>
      </c>
      <c r="I30" s="13">
        <f t="shared" si="20"/>
        <v>42350.399999999994</v>
      </c>
      <c r="J30" s="13">
        <f t="shared" si="20"/>
        <v>42350.399999999994</v>
      </c>
      <c r="K30" s="13">
        <f t="shared" si="20"/>
        <v>42350.399999999994</v>
      </c>
      <c r="L30" s="13">
        <f t="shared" si="20"/>
        <v>42350.399999999994</v>
      </c>
      <c r="M30" s="13">
        <f t="shared" si="20"/>
        <v>42350.399999999994</v>
      </c>
      <c r="N30" s="13">
        <f t="shared" si="19"/>
        <v>508204.80000000005</v>
      </c>
    </row>
    <row r="31" spans="1:14" ht="22.5" customHeight="1" thickBot="1" x14ac:dyDescent="0.3">
      <c r="A31" s="8" t="s">
        <v>19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 t="shared" si="19"/>
        <v>0</v>
      </c>
    </row>
    <row r="32" spans="1:14" ht="23.25" customHeight="1" thickBot="1" x14ac:dyDescent="0.3">
      <c r="A32" s="8" t="s">
        <v>20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 t="shared" si="19"/>
        <v>0</v>
      </c>
    </row>
    <row r="33" spans="1:14" s="25" customFormat="1" ht="22.5" customHeight="1" thickBot="1" x14ac:dyDescent="0.3">
      <c r="A33" s="23" t="s">
        <v>21</v>
      </c>
      <c r="B33" s="24">
        <v>0</v>
      </c>
      <c r="C33" s="24">
        <v>0</v>
      </c>
      <c r="D33" s="24">
        <v>0</v>
      </c>
      <c r="E33" s="24">
        <v>22078.76</v>
      </c>
      <c r="F33" s="24">
        <v>7617.2</v>
      </c>
      <c r="G33" s="24">
        <v>7166.84</v>
      </c>
      <c r="H33" s="24">
        <v>3493.08</v>
      </c>
      <c r="I33" s="24">
        <v>0</v>
      </c>
      <c r="J33" s="24">
        <v>7749.88</v>
      </c>
      <c r="K33" s="24">
        <v>0</v>
      </c>
      <c r="L33" s="24">
        <v>0</v>
      </c>
      <c r="M33" s="24">
        <v>0</v>
      </c>
      <c r="N33" s="13">
        <f t="shared" si="19"/>
        <v>48105.760000000002</v>
      </c>
    </row>
    <row r="34" spans="1:14" ht="23.25" customHeight="1" thickBot="1" x14ac:dyDescent="0.3">
      <c r="A34" s="10" t="s">
        <v>25</v>
      </c>
      <c r="B34" s="16">
        <f>260.44+0</f>
        <v>260.44</v>
      </c>
      <c r="C34" s="16">
        <f t="shared" ref="C34:G34" si="21">260.44+0</f>
        <v>260.44</v>
      </c>
      <c r="D34" s="16">
        <f t="shared" si="21"/>
        <v>260.44</v>
      </c>
      <c r="E34" s="16">
        <f t="shared" si="21"/>
        <v>260.44</v>
      </c>
      <c r="F34" s="16">
        <f t="shared" si="21"/>
        <v>260.44</v>
      </c>
      <c r="G34" s="16">
        <f t="shared" si="21"/>
        <v>260.44</v>
      </c>
      <c r="H34" s="16">
        <f>287.41+0</f>
        <v>287.41000000000003</v>
      </c>
      <c r="I34" s="16">
        <f t="shared" ref="I34:M34" si="22">287.41+0</f>
        <v>287.41000000000003</v>
      </c>
      <c r="J34" s="16">
        <f t="shared" si="22"/>
        <v>287.41000000000003</v>
      </c>
      <c r="K34" s="16">
        <f t="shared" si="22"/>
        <v>287.41000000000003</v>
      </c>
      <c r="L34" s="16">
        <f t="shared" si="22"/>
        <v>287.41000000000003</v>
      </c>
      <c r="M34" s="16">
        <f t="shared" si="22"/>
        <v>287.41000000000003</v>
      </c>
      <c r="N34" s="13">
        <f t="shared" si="19"/>
        <v>3287.0999999999995</v>
      </c>
    </row>
    <row r="35" spans="1:14" ht="22.5" customHeight="1" thickBot="1" x14ac:dyDescent="0.3">
      <c r="A35" s="8" t="s">
        <v>6</v>
      </c>
      <c r="B35" s="13">
        <f>3529.2*3.15</f>
        <v>11116.98</v>
      </c>
      <c r="C35" s="13">
        <f t="shared" ref="C35:I35" si="23">3529.2*3.15</f>
        <v>11116.98</v>
      </c>
      <c r="D35" s="13">
        <f t="shared" si="23"/>
        <v>11116.98</v>
      </c>
      <c r="E35" s="13">
        <f t="shared" si="23"/>
        <v>11116.98</v>
      </c>
      <c r="F35" s="13">
        <f t="shared" si="23"/>
        <v>11116.98</v>
      </c>
      <c r="G35" s="13">
        <f t="shared" si="23"/>
        <v>11116.98</v>
      </c>
      <c r="H35" s="13">
        <f t="shared" si="23"/>
        <v>11116.98</v>
      </c>
      <c r="I35" s="13">
        <f t="shared" si="23"/>
        <v>11116.98</v>
      </c>
      <c r="J35" s="13">
        <f>3529.2*4.3</f>
        <v>15175.56</v>
      </c>
      <c r="K35" s="13">
        <f t="shared" ref="K35:M35" si="24">3529.2*4.3</f>
        <v>15175.56</v>
      </c>
      <c r="L35" s="13">
        <f t="shared" si="24"/>
        <v>15175.56</v>
      </c>
      <c r="M35" s="13">
        <f t="shared" si="24"/>
        <v>15175.56</v>
      </c>
      <c r="N35" s="13">
        <f t="shared" si="19"/>
        <v>149638.07999999999</v>
      </c>
    </row>
    <row r="36" spans="1:14" ht="21" customHeight="1" thickBot="1" x14ac:dyDescent="0.3">
      <c r="A36" s="8" t="s">
        <v>31</v>
      </c>
      <c r="B36" s="13">
        <v>4262.82</v>
      </c>
      <c r="C36" s="13">
        <v>5134.16</v>
      </c>
      <c r="D36" s="13">
        <v>3659.21</v>
      </c>
      <c r="E36" s="13">
        <v>3139.15</v>
      </c>
      <c r="F36" s="13">
        <v>3613.45</v>
      </c>
      <c r="G36" s="13">
        <v>3488</v>
      </c>
      <c r="H36" s="13">
        <v>3709.71</v>
      </c>
      <c r="I36" s="13">
        <v>3394.6</v>
      </c>
      <c r="J36" s="13">
        <v>3538.2052899999999</v>
      </c>
      <c r="K36" s="13">
        <v>4027.85</v>
      </c>
      <c r="L36" s="13">
        <v>3375.89</v>
      </c>
      <c r="M36" s="13">
        <v>3418.33</v>
      </c>
      <c r="N36" s="13">
        <f t="shared" si="19"/>
        <v>44761.375289999996</v>
      </c>
    </row>
    <row r="37" spans="1:14" ht="19.8" customHeight="1" thickBot="1" x14ac:dyDescent="0.3">
      <c r="A37" s="8" t="s">
        <v>32</v>
      </c>
      <c r="B37" s="13">
        <v>637</v>
      </c>
      <c r="C37" s="13">
        <v>767</v>
      </c>
      <c r="D37" s="13">
        <v>547</v>
      </c>
      <c r="E37" s="13">
        <v>469</v>
      </c>
      <c r="F37" s="13">
        <v>540</v>
      </c>
      <c r="G37" s="13">
        <v>521</v>
      </c>
      <c r="H37" s="13">
        <v>554</v>
      </c>
      <c r="I37" s="13">
        <v>507</v>
      </c>
      <c r="J37" s="13">
        <v>529</v>
      </c>
      <c r="K37" s="13">
        <v>602</v>
      </c>
      <c r="L37" s="13">
        <v>505</v>
      </c>
      <c r="M37" s="13">
        <v>511</v>
      </c>
      <c r="N37" s="13">
        <f t="shared" si="19"/>
        <v>6689</v>
      </c>
    </row>
    <row r="38" spans="1:14" ht="21.75" customHeight="1" thickBot="1" x14ac:dyDescent="0.3">
      <c r="A38" s="8" t="s">
        <v>24</v>
      </c>
      <c r="B38" s="13">
        <f>1000</f>
        <v>1000</v>
      </c>
      <c r="C38" s="13">
        <f>1000</f>
        <v>1000</v>
      </c>
      <c r="D38" s="13">
        <f>1000</f>
        <v>1000</v>
      </c>
      <c r="E38" s="13">
        <f>1000</f>
        <v>1000</v>
      </c>
      <c r="F38" s="13">
        <f>1000</f>
        <v>1000</v>
      </c>
      <c r="G38" s="13">
        <f>1000</f>
        <v>1000</v>
      </c>
      <c r="H38" s="13">
        <f>1000</f>
        <v>1000</v>
      </c>
      <c r="I38" s="13">
        <f>1000</f>
        <v>1000</v>
      </c>
      <c r="J38" s="13">
        <f>1000</f>
        <v>1000</v>
      </c>
      <c r="K38" s="13">
        <f>1000</f>
        <v>1000</v>
      </c>
      <c r="L38" s="13">
        <f>1000</f>
        <v>1000</v>
      </c>
      <c r="M38" s="13">
        <f>1000</f>
        <v>1000</v>
      </c>
      <c r="N38" s="13">
        <f t="shared" si="19"/>
        <v>12000</v>
      </c>
    </row>
    <row r="39" spans="1:14" ht="21" customHeight="1" thickBot="1" x14ac:dyDescent="0.3">
      <c r="A39" s="8" t="s">
        <v>14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22758.83</v>
      </c>
      <c r="L39" s="13">
        <v>0</v>
      </c>
      <c r="M39" s="13">
        <v>0</v>
      </c>
      <c r="N39" s="13">
        <f t="shared" si="19"/>
        <v>22758.83</v>
      </c>
    </row>
    <row r="40" spans="1:14" ht="21.75" customHeight="1" thickBot="1" x14ac:dyDescent="0.3">
      <c r="A40" s="8" t="s">
        <v>10</v>
      </c>
      <c r="B40" s="13">
        <f>14041.1+1519.7</f>
        <v>15560.800000000001</v>
      </c>
      <c r="C40" s="13">
        <f>3325.6</f>
        <v>3325.6</v>
      </c>
      <c r="D40" s="13">
        <f>210</f>
        <v>210</v>
      </c>
      <c r="E40" s="13">
        <f>43400</f>
        <v>43400</v>
      </c>
      <c r="F40" s="13">
        <v>0</v>
      </c>
      <c r="G40" s="13">
        <v>0</v>
      </c>
      <c r="H40" s="13">
        <v>0</v>
      </c>
      <c r="I40" s="13">
        <f>939.3+3200</f>
        <v>4139.3</v>
      </c>
      <c r="J40" s="13">
        <f>11578.2</f>
        <v>11578.2</v>
      </c>
      <c r="K40" s="13">
        <v>0</v>
      </c>
      <c r="L40" s="13">
        <f>145+1197</f>
        <v>1342</v>
      </c>
      <c r="M40" s="13">
        <f>3133</f>
        <v>3133</v>
      </c>
      <c r="N40" s="13">
        <f t="shared" si="19"/>
        <v>82688.899999999994</v>
      </c>
    </row>
    <row r="41" spans="1:14" ht="22.5" customHeight="1" thickBot="1" x14ac:dyDescent="0.3">
      <c r="A41" s="4" t="s">
        <v>22</v>
      </c>
      <c r="B41" s="12">
        <f t="shared" ref="B41:M41" si="25">SUM(B26:B40)</f>
        <v>84610.144589999996</v>
      </c>
      <c r="C41" s="12">
        <f t="shared" si="25"/>
        <v>71317.818180000002</v>
      </c>
      <c r="D41" s="12">
        <f t="shared" si="25"/>
        <v>66301.341580000008</v>
      </c>
      <c r="E41" s="12">
        <f t="shared" si="25"/>
        <v>131194.27648</v>
      </c>
      <c r="F41" s="12">
        <f t="shared" si="25"/>
        <v>74624.486459999986</v>
      </c>
      <c r="G41" s="12">
        <f t="shared" si="25"/>
        <v>73791.011139999988</v>
      </c>
      <c r="H41" s="12">
        <f t="shared" si="25"/>
        <v>70211.123260000008</v>
      </c>
      <c r="I41" s="12">
        <f t="shared" si="25"/>
        <v>70386.112979999991</v>
      </c>
      <c r="J41" s="12">
        <f t="shared" si="25"/>
        <v>90982.63033</v>
      </c>
      <c r="K41" s="12">
        <f t="shared" si="25"/>
        <v>94930.673300000009</v>
      </c>
      <c r="L41" s="12">
        <f t="shared" si="25"/>
        <v>72818.869599999991</v>
      </c>
      <c r="M41" s="12">
        <f t="shared" si="25"/>
        <v>75945.657640000005</v>
      </c>
      <c r="N41" s="12">
        <f>SUM(N26:N40)</f>
        <v>977114.14553999994</v>
      </c>
    </row>
    <row r="42" spans="1:14" ht="23.25" customHeight="1" thickBot="1" x14ac:dyDescent="0.3">
      <c r="A42" s="5" t="s">
        <v>5</v>
      </c>
      <c r="B42" s="15">
        <f t="shared" ref="B42:N42" si="26">B15-B41</f>
        <v>80961.085409999956</v>
      </c>
      <c r="C42" s="15">
        <f t="shared" si="26"/>
        <v>14086.561820000017</v>
      </c>
      <c r="D42" s="15">
        <f t="shared" si="26"/>
        <v>12238.818420000011</v>
      </c>
      <c r="E42" s="15">
        <f t="shared" si="26"/>
        <v>-45246.286479999995</v>
      </c>
      <c r="F42" s="15">
        <f t="shared" si="26"/>
        <v>17070.893540000019</v>
      </c>
      <c r="G42" s="15">
        <f t="shared" si="26"/>
        <v>22482.218860000023</v>
      </c>
      <c r="H42" s="15">
        <f t="shared" si="26"/>
        <v>20192.216739999989</v>
      </c>
      <c r="I42" s="15">
        <f t="shared" si="26"/>
        <v>22139.327019999997</v>
      </c>
      <c r="J42" s="15">
        <f t="shared" si="26"/>
        <v>18385.689669999992</v>
      </c>
      <c r="K42" s="15">
        <f t="shared" si="26"/>
        <v>6209.2467000000033</v>
      </c>
      <c r="L42" s="15">
        <f t="shared" si="26"/>
        <v>41678.9804</v>
      </c>
      <c r="M42" s="15">
        <f t="shared" si="26"/>
        <v>76622.082359999957</v>
      </c>
      <c r="N42" s="15">
        <f t="shared" si="26"/>
        <v>286820.83446000004</v>
      </c>
    </row>
    <row r="43" spans="1:14" ht="23.25" customHeight="1" thickBot="1" x14ac:dyDescent="0.3">
      <c r="A43" s="5" t="s">
        <v>7</v>
      </c>
      <c r="B43" s="17">
        <f t="shared" ref="B43:N43" si="27">B3+B42</f>
        <v>-341686.01459000004</v>
      </c>
      <c r="C43" s="17">
        <f t="shared" si="27"/>
        <v>-327599.45277000003</v>
      </c>
      <c r="D43" s="17">
        <f t="shared" si="27"/>
        <v>-315360.63435000001</v>
      </c>
      <c r="E43" s="17">
        <f t="shared" si="27"/>
        <v>-360606.92083000002</v>
      </c>
      <c r="F43" s="17">
        <f t="shared" si="27"/>
        <v>-343536.02729</v>
      </c>
      <c r="G43" s="17">
        <f t="shared" si="27"/>
        <v>-321053.80842999998</v>
      </c>
      <c r="H43" s="17">
        <f t="shared" si="27"/>
        <v>-300861.59168999997</v>
      </c>
      <c r="I43" s="17">
        <f t="shared" si="27"/>
        <v>-278722.26466999995</v>
      </c>
      <c r="J43" s="17">
        <f t="shared" si="27"/>
        <v>-260336.57499999995</v>
      </c>
      <c r="K43" s="17">
        <f t="shared" si="27"/>
        <v>-254127.32829999994</v>
      </c>
      <c r="L43" s="17">
        <f t="shared" si="27"/>
        <v>-212448.34789999994</v>
      </c>
      <c r="M43" s="17">
        <f t="shared" si="27"/>
        <v>-135826.26553999999</v>
      </c>
      <c r="N43" s="17">
        <f t="shared" si="27"/>
        <v>-135826.26553999993</v>
      </c>
    </row>
    <row r="44" spans="1:14" ht="23.25" customHeight="1" thickBot="1" x14ac:dyDescent="0.3">
      <c r="A44" s="5" t="s">
        <v>46</v>
      </c>
      <c r="B44" s="13">
        <v>0</v>
      </c>
      <c r="C44" s="13">
        <v>0</v>
      </c>
      <c r="D44" s="13">
        <v>3616.16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SUM(B44:M44)</f>
        <v>3616.16</v>
      </c>
    </row>
    <row r="45" spans="1:14" ht="27" customHeight="1" thickBot="1" x14ac:dyDescent="0.3">
      <c r="A45" s="7" t="s">
        <v>11</v>
      </c>
      <c r="B45" s="20">
        <f>B4+B15-B5</f>
        <v>-300024.94000000006</v>
      </c>
      <c r="C45" s="20">
        <f t="shared" ref="C45" si="28">C4+C15-C5</f>
        <v>-298741.59000000008</v>
      </c>
      <c r="D45" s="20">
        <f>D4+D15-D5+D44</f>
        <v>-300706.3000000001</v>
      </c>
      <c r="E45" s="20">
        <f t="shared" ref="E45:N45" si="29">E4+E15-E5+E44</f>
        <v>-298879.34000000008</v>
      </c>
      <c r="F45" s="20">
        <f t="shared" si="29"/>
        <v>-313383.77000000008</v>
      </c>
      <c r="G45" s="20">
        <f t="shared" si="29"/>
        <v>-308848.78000000009</v>
      </c>
      <c r="H45" s="20">
        <f t="shared" si="29"/>
        <v>-309733.25000000012</v>
      </c>
      <c r="I45" s="20">
        <f t="shared" si="29"/>
        <v>-304619.34000000008</v>
      </c>
      <c r="J45" s="20">
        <f t="shared" si="29"/>
        <v>-305980.46000000008</v>
      </c>
      <c r="K45" s="20">
        <f t="shared" si="29"/>
        <v>-323019.99000000005</v>
      </c>
      <c r="L45" s="20">
        <f t="shared" si="29"/>
        <v>-313364.99000000005</v>
      </c>
      <c r="M45" s="20">
        <f t="shared" si="29"/>
        <v>-271226.69000000006</v>
      </c>
      <c r="N45" s="20">
        <f t="shared" si="29"/>
        <v>-271226.69</v>
      </c>
    </row>
    <row r="49" spans="12:12" x14ac:dyDescent="0.25">
      <c r="L49" s="27"/>
    </row>
  </sheetData>
  <mergeCells count="1">
    <mergeCell ref="A1:P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2026-02-12T07:58:58Z</cp:lastPrinted>
  <dcterms:created xsi:type="dcterms:W3CDTF">2011-06-06T03:25:48Z</dcterms:created>
  <dcterms:modified xsi:type="dcterms:W3CDTF">2026-02-12T08:02:33Z</dcterms:modified>
</cp:coreProperties>
</file>