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38" i="1" l="1"/>
  <c r="L38" i="1" l="1"/>
  <c r="M36" i="1" l="1"/>
  <c r="L36" i="1"/>
  <c r="K36" i="1" l="1"/>
  <c r="K38" i="1" l="1"/>
  <c r="K32" i="1" l="1"/>
  <c r="L32" i="1"/>
  <c r="M32" i="1"/>
  <c r="L29" i="1"/>
  <c r="K29" i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38" i="1" l="1"/>
  <c r="I32" i="1" l="1"/>
  <c r="J32" i="1"/>
  <c r="H32" i="1"/>
  <c r="J29" i="1" l="1"/>
  <c r="I29" i="1"/>
  <c r="H29" i="1"/>
  <c r="J36" i="1" l="1"/>
  <c r="I36" i="1" l="1"/>
  <c r="H38" i="1" l="1"/>
  <c r="H36" i="1" l="1"/>
  <c r="I38" i="1" l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33" i="1" l="1"/>
  <c r="I33" i="1"/>
  <c r="J33" i="1"/>
  <c r="H28" i="1"/>
  <c r="I28" i="1"/>
  <c r="J28" i="1"/>
  <c r="H25" i="1"/>
  <c r="I25" i="1"/>
  <c r="J25" i="1"/>
  <c r="H24" i="1"/>
  <c r="I24" i="1"/>
  <c r="J24" i="1"/>
  <c r="G36" i="1" l="1"/>
  <c r="F36" i="1"/>
  <c r="E36" i="1" l="1"/>
  <c r="F38" i="1" l="1"/>
  <c r="E32" i="1" l="1"/>
  <c r="F32" i="1"/>
  <c r="G32" i="1"/>
  <c r="G33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3" i="1" l="1"/>
  <c r="F33" i="1"/>
  <c r="E28" i="1"/>
  <c r="F28" i="1"/>
  <c r="G28" i="1"/>
  <c r="E25" i="1"/>
  <c r="F25" i="1"/>
  <c r="G25" i="1"/>
  <c r="E24" i="1"/>
  <c r="F24" i="1"/>
  <c r="G24" i="1"/>
  <c r="C32" i="1" l="1"/>
  <c r="D32" i="1"/>
  <c r="B32" i="1"/>
  <c r="D36" i="1" l="1"/>
  <c r="C36" i="1"/>
  <c r="B36" i="1" l="1"/>
  <c r="C38" i="1" l="1"/>
  <c r="B38" i="1" l="1"/>
  <c r="D26" i="1" l="1"/>
  <c r="C28" i="1" l="1"/>
  <c r="D28" i="1"/>
  <c r="B28" i="1"/>
  <c r="C26" i="1"/>
  <c r="D25" i="1"/>
  <c r="C25" i="1"/>
  <c r="D27" i="1" l="1"/>
  <c r="D16" i="1"/>
  <c r="D8" i="1"/>
  <c r="N42" i="1"/>
  <c r="C27" i="1" l="1"/>
  <c r="C16" i="1"/>
  <c r="C8" i="1"/>
  <c r="B27" i="1" l="1"/>
  <c r="B16" i="1"/>
  <c r="B26" i="1"/>
  <c r="B8" i="1"/>
  <c r="C33" i="1" l="1"/>
  <c r="D33" i="1"/>
  <c r="C24" i="1"/>
  <c r="D24" i="1"/>
  <c r="B33" i="1"/>
  <c r="B25" i="1"/>
  <c r="B24" i="1"/>
  <c r="N35" i="1" l="1"/>
  <c r="N31" i="1" l="1"/>
  <c r="N6" i="1" l="1"/>
  <c r="N5" i="1"/>
  <c r="L7" i="1" l="1"/>
  <c r="K7" i="1"/>
  <c r="N24" i="1"/>
  <c r="N25" i="1"/>
  <c r="N28" i="1"/>
  <c r="N29" i="1"/>
  <c r="N30" i="1"/>
  <c r="N32" i="1"/>
  <c r="N33" i="1"/>
  <c r="N34" i="1"/>
  <c r="N36" i="1"/>
  <c r="N37" i="1"/>
  <c r="N17" i="1"/>
  <c r="N18" i="1"/>
  <c r="N20" i="1"/>
  <c r="N21" i="1"/>
  <c r="N22" i="1"/>
  <c r="K15" i="1"/>
  <c r="M15" i="1"/>
  <c r="N9" i="1"/>
  <c r="N10" i="1"/>
  <c r="N11" i="1"/>
  <c r="N12" i="1"/>
  <c r="N13" i="1"/>
  <c r="N14" i="1"/>
  <c r="M7" i="1"/>
  <c r="M39" i="1" l="1"/>
  <c r="M40" i="1" s="1"/>
  <c r="K39" i="1"/>
  <c r="K40" i="1" s="1"/>
  <c r="L15" i="1"/>
  <c r="L39" i="1" l="1"/>
  <c r="L40" i="1" s="1"/>
  <c r="I7" i="1"/>
  <c r="I15" i="1"/>
  <c r="J15" i="1"/>
  <c r="H7" i="1"/>
  <c r="J7" i="1"/>
  <c r="J39" i="1" l="1"/>
  <c r="J40" i="1" s="1"/>
  <c r="I39" i="1"/>
  <c r="I40" i="1" s="1"/>
  <c r="H15" i="1"/>
  <c r="N38" i="1"/>
  <c r="G15" i="1"/>
  <c r="B7" i="1"/>
  <c r="D15" i="1"/>
  <c r="D39" i="1" s="1"/>
  <c r="D40" i="1" s="1"/>
  <c r="D7" i="1"/>
  <c r="C15" i="1"/>
  <c r="C7" i="1"/>
  <c r="B15" i="1"/>
  <c r="G39" i="1" l="1"/>
  <c r="G40" i="1" s="1"/>
  <c r="C39" i="1"/>
  <c r="C40" i="1" s="1"/>
  <c r="F15" i="1"/>
  <c r="E7" i="1"/>
  <c r="N8" i="1"/>
  <c r="N19" i="1"/>
  <c r="N27" i="1"/>
  <c r="N16" i="1"/>
  <c r="E15" i="1"/>
  <c r="H39" i="1"/>
  <c r="H40" i="1" s="1"/>
  <c r="G7" i="1"/>
  <c r="F7" i="1"/>
  <c r="B43" i="1"/>
  <c r="C6" i="1" s="1"/>
  <c r="C43" i="1" s="1"/>
  <c r="D6" i="1" s="1"/>
  <c r="D43" i="1" s="1"/>
  <c r="E6" i="1" l="1"/>
  <c r="E43" i="1" s="1"/>
  <c r="F39" i="1"/>
  <c r="F40" i="1" s="1"/>
  <c r="N7" i="1"/>
  <c r="B39" i="1"/>
  <c r="B40" i="1" s="1"/>
  <c r="B41" i="1" s="1"/>
  <c r="C5" i="1" s="1"/>
  <c r="C41" i="1" s="1"/>
  <c r="N26" i="1"/>
  <c r="N15" i="1"/>
  <c r="E39" i="1"/>
  <c r="E40" i="1" s="1"/>
  <c r="N43" i="1" l="1"/>
  <c r="F6" i="1"/>
  <c r="F43" i="1" s="1"/>
  <c r="D5" i="1"/>
  <c r="D41" i="1" s="1"/>
  <c r="N39" i="1"/>
  <c r="N40" i="1" s="1"/>
  <c r="N41" i="1" s="1"/>
  <c r="G6" i="1" l="1"/>
  <c r="G43" i="1" s="1"/>
  <c r="E5" i="1"/>
  <c r="E41" i="1" s="1"/>
  <c r="F5" i="1" s="1"/>
  <c r="F41" i="1" s="1"/>
  <c r="H6" i="1" l="1"/>
  <c r="G5" i="1"/>
  <c r="G41" i="1" s="1"/>
  <c r="H43" i="1" l="1"/>
  <c r="I6" i="1" s="1"/>
  <c r="I43" i="1" s="1"/>
  <c r="J6" i="1" s="1"/>
  <c r="J43" i="1" s="1"/>
  <c r="H5" i="1"/>
  <c r="H41" i="1" s="1"/>
  <c r="K6" i="1" l="1"/>
  <c r="K43" i="1" s="1"/>
  <c r="I5" i="1"/>
  <c r="I41" i="1" s="1"/>
  <c r="L6" i="1" l="1"/>
  <c r="L43" i="1" s="1"/>
  <c r="J5" i="1"/>
  <c r="J41" i="1" s="1"/>
  <c r="M6" i="1" l="1"/>
  <c r="M43" i="1" s="1"/>
  <c r="K5" i="1"/>
  <c r="K41" i="1" s="1"/>
  <c r="L5" i="1" l="1"/>
  <c r="L41" i="1" s="1"/>
  <c r="M5" i="1" l="1"/>
  <c r="M41" i="1" s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<sst xmlns="http://schemas.openxmlformats.org/spreadsheetml/2006/main" count="54" uniqueCount="45">
  <si>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</si>
  <si>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</si>
  <si>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</si>
  <si>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</si>
  <si>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</si>
  <si>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</si>
  <si>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</si>
  <si>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</si>
  <si>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</si>
  <si>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</si>
  <si>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</si>
  <si>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</si>
  <si>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</si>
  <si>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</si>
  <si>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</si>
  <si>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</si>
  <si>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</si>
  <si>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</si>
  <si>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</si>
  <si>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</si>
  <si>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</si>
  <si>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</si>
  <si>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</si>
  <si>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</si>
  <si>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</si>
  <si>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</si>
  <si>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</si>
  <si>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Содержание жилья и текущий ремонт,  ОПУ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</si>
  <si>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</si>
  <si>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</si>
  <si>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</si>
  <si>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</si>
  <si>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</si>
  <si>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</si>
  <si>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</si>
  <si>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</si>
  <si>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</si>
  <si>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</si>
  <si>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</si>
  <si>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2025г.</t>
  </si>
  <si>
    <t>Ноябрь 2025г.</t>
  </si>
  <si>
    <t>Декабрь 2025г.</t>
  </si>
  <si>
    <t>Всего:                       за  2025г.</t>
  </si>
  <si>
    <t>Корректировка задолженности</t>
  </si>
  <si>
    <t xml:space="preserve">                 ОТЧЕТ по дому Разина, 72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</si>
</sst>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6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0" xfId="0" applyBorder="1"/>
    <xf numFmtId="0" fontId="8" fillId="0" borderId="3" xfId="0" applyFont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A2" sqref="A1:H1048576"/>
    </sheetView>
  </sheetViews>
  <sheetFormatPr defaultRowHeight="13.2" x14ac:dyDescent="0.25"/>
  <cols>
    <col min="1" max="1" width="58.6640625" customWidth="1"/>
    <col min="2" max="2" width="14.109375" customWidth="1"/>
    <col min="3" max="3" width="14" customWidth="1"/>
    <col min="4" max="13" width="14.33203125" customWidth="1"/>
    <col min="14" max="14" width="15.5546875" customWidth="1"/>
  </cols>
  <sheetData>
    <row r="1" spans="1:18" ht="20.25" customHeight="1" x14ac:dyDescent="0.4">
      <c r="A1" s="22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3" t="s">
        <v>0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42</v>
      </c>
    </row>
    <row r="5" spans="1:18" ht="23.25" customHeight="1" thickBot="1" x14ac:dyDescent="0.3">
      <c r="A5" s="5" t="s">
        <v>16</v>
      </c>
      <c r="B5" s="12">
        <v>-591902.81999999995</v>
      </c>
      <c r="C5" s="12">
        <f t="shared" ref="C5:E5" si="0">B41</f>
        <v>-584125.10119999992</v>
      </c>
      <c r="D5" s="12">
        <f t="shared" si="0"/>
        <v>-584065.62505999987</v>
      </c>
      <c r="E5" s="12">
        <f t="shared" si="0"/>
        <v>-577909.42049999989</v>
      </c>
      <c r="F5" s="12">
        <f t="shared" ref="F5" si="1">E41</f>
        <v>-592796.13083999988</v>
      </c>
      <c r="G5" s="12">
        <f t="shared" ref="G5" si="2">F41</f>
        <v>-610743.51035999984</v>
      </c>
      <c r="H5" s="12">
        <f t="shared" ref="H5" si="3">G41</f>
        <v>-604173.17495999986</v>
      </c>
      <c r="I5" s="12">
        <f t="shared" ref="I5" si="4">H41</f>
        <v>-607750.19661999983</v>
      </c>
      <c r="J5" s="12">
        <f t="shared" ref="J5" si="5">I41</f>
        <v>-596503.11347999983</v>
      </c>
      <c r="K5" s="12">
        <f t="shared" ref="K5" si="6">J41</f>
        <v>-611504.09049999982</v>
      </c>
      <c r="L5" s="12">
        <f t="shared" ref="L5" si="7">K41</f>
        <v>-611128.3570399998</v>
      </c>
      <c r="M5" s="12">
        <f t="shared" ref="M5" si="8">L41</f>
        <v>-596518.12675999978</v>
      </c>
      <c r="N5" s="12">
        <f>B5</f>
        <v>-591902.81999999995</v>
      </c>
    </row>
    <row r="6" spans="1:18" ht="21" customHeight="1" thickBot="1" x14ac:dyDescent="0.3">
      <c r="A6" s="5" t="s">
        <v>13</v>
      </c>
      <c r="B6" s="12">
        <v>-142354.35999999999</v>
      </c>
      <c r="C6" s="12">
        <f t="shared" ref="C6:M6" si="9">B43</f>
        <v>-128979.90999999999</v>
      </c>
      <c r="D6" s="12">
        <f t="shared" si="9"/>
        <v>-138493.9</v>
      </c>
      <c r="E6" s="12">
        <f t="shared" si="9"/>
        <v>-97284.72</v>
      </c>
      <c r="F6" s="12">
        <f t="shared" si="9"/>
        <v>-97555.83</v>
      </c>
      <c r="G6" s="12">
        <f t="shared" si="9"/>
        <v>-109694.09</v>
      </c>
      <c r="H6" s="12">
        <f t="shared" si="9"/>
        <v>-140628.21</v>
      </c>
      <c r="I6" s="12">
        <f t="shared" si="9"/>
        <v>-150720.29999999999</v>
      </c>
      <c r="J6" s="12">
        <f t="shared" si="9"/>
        <v>-146284.10999999999</v>
      </c>
      <c r="K6" s="12">
        <f t="shared" si="9"/>
        <v>-166075.19999999995</v>
      </c>
      <c r="L6" s="12">
        <f t="shared" si="9"/>
        <v>-201003.16999999995</v>
      </c>
      <c r="M6" s="12">
        <f t="shared" si="9"/>
        <v>-213234.84999999992</v>
      </c>
      <c r="N6" s="12">
        <f>B6</f>
        <v>-142354.35999999999</v>
      </c>
    </row>
    <row r="7" spans="1:18" ht="20.25" customHeight="1" thickBot="1" x14ac:dyDescent="0.3">
      <c r="A7" s="6" t="s">
        <v>12</v>
      </c>
      <c r="B7" s="13">
        <f>SUM(B8:B14)</f>
        <v>74020.900000000009</v>
      </c>
      <c r="C7" s="13">
        <f>SUM(C8:C14)</f>
        <v>74526.760000000009</v>
      </c>
      <c r="D7" s="13">
        <f>SUM(D8:D14)</f>
        <v>70829.440000000002</v>
      </c>
      <c r="E7" s="13">
        <f t="shared" ref="E7:M7" si="10">SUM(E8:E14)</f>
        <v>70829.440000000002</v>
      </c>
      <c r="F7" s="13">
        <f t="shared" si="10"/>
        <v>71718.97</v>
      </c>
      <c r="G7" s="13">
        <f t="shared" si="10"/>
        <v>111965.95</v>
      </c>
      <c r="H7" s="13">
        <f t="shared" si="10"/>
        <v>107656.06</v>
      </c>
      <c r="I7" s="13">
        <f t="shared" si="10"/>
        <v>106670.11</v>
      </c>
      <c r="J7" s="13">
        <f t="shared" si="10"/>
        <v>121803.12</v>
      </c>
      <c r="K7" s="13">
        <f t="shared" si="10"/>
        <v>123923.94</v>
      </c>
      <c r="L7" s="13">
        <f t="shared" si="10"/>
        <v>112897.76999999999</v>
      </c>
      <c r="M7" s="13">
        <f t="shared" si="10"/>
        <v>101987.26</v>
      </c>
      <c r="N7" s="13">
        <f>SUM(B7:M7)</f>
        <v>1148829.72</v>
      </c>
    </row>
    <row r="8" spans="1:18" ht="24.75" customHeight="1" thickBot="1" x14ac:dyDescent="0.3">
      <c r="A8" s="11" t="s">
        <v>27</v>
      </c>
      <c r="B8" s="14">
        <f>68509.32+1466.86</f>
        <v>69976.180000000008</v>
      </c>
      <c r="C8" s="14">
        <f>68509.32+1466.86</f>
        <v>69976.180000000008</v>
      </c>
      <c r="D8" s="14">
        <f>68509.32+1466.86</f>
        <v>69976.180000000008</v>
      </c>
      <c r="E8" s="14">
        <f>68509.32+1466.86</f>
        <v>69976.180000000008</v>
      </c>
      <c r="F8" s="14">
        <f>68509.32+1466.86</f>
        <v>69976.180000000008</v>
      </c>
      <c r="G8" s="14">
        <f t="shared" ref="G8:L8" si="11">98381.25+1466.86</f>
        <v>99848.11</v>
      </c>
      <c r="H8" s="14">
        <f t="shared" si="11"/>
        <v>99848.11</v>
      </c>
      <c r="I8" s="14">
        <f t="shared" si="11"/>
        <v>99848.11</v>
      </c>
      <c r="J8" s="14">
        <f t="shared" si="11"/>
        <v>99848.11</v>
      </c>
      <c r="K8" s="14">
        <f t="shared" si="11"/>
        <v>99848.11</v>
      </c>
      <c r="L8" s="14">
        <f t="shared" si="11"/>
        <v>99848.11</v>
      </c>
      <c r="M8" s="14">
        <f>98381.25+1466.86</f>
        <v>99848.11</v>
      </c>
      <c r="N8" s="14">
        <f>SUM(B8:M8)</f>
        <v>1048817.67</v>
      </c>
    </row>
    <row r="9" spans="1:18" ht="24.75" customHeight="1" thickBot="1" x14ac:dyDescent="0.3">
      <c r="A9" s="11" t="s">
        <v>17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5857.41</v>
      </c>
      <c r="J9" s="14">
        <v>19650.73</v>
      </c>
      <c r="K9" s="14">
        <v>13858.63</v>
      </c>
      <c r="L9" s="14">
        <v>12285.07</v>
      </c>
      <c r="M9" s="14">
        <v>1374.56</v>
      </c>
      <c r="N9" s="14">
        <f t="shared" ref="N9:N14" si="12">SUM(B9:M9)</f>
        <v>53026.399999999994</v>
      </c>
    </row>
    <row r="10" spans="1:18" ht="21.75" customHeight="1" thickBot="1" x14ac:dyDescent="0.3">
      <c r="A10" s="11" t="s">
        <v>18</v>
      </c>
      <c r="B10" s="14">
        <v>275.42</v>
      </c>
      <c r="C10" s="14">
        <v>275.42</v>
      </c>
      <c r="D10" s="14">
        <v>275.42</v>
      </c>
      <c r="E10" s="14">
        <v>275.42</v>
      </c>
      <c r="F10" s="14">
        <v>275.42</v>
      </c>
      <c r="G10" s="14">
        <v>275.42</v>
      </c>
      <c r="H10" s="14">
        <v>357.95</v>
      </c>
      <c r="I10" s="14">
        <v>357.95</v>
      </c>
      <c r="J10" s="14">
        <v>357.95</v>
      </c>
      <c r="K10" s="14">
        <v>357.95</v>
      </c>
      <c r="L10" s="14">
        <v>357.95</v>
      </c>
      <c r="M10" s="14">
        <v>357.95</v>
      </c>
      <c r="N10" s="14">
        <f t="shared" si="12"/>
        <v>3800.2199999999993</v>
      </c>
    </row>
    <row r="11" spans="1:18" ht="22.5" customHeight="1" thickBot="1" x14ac:dyDescent="0.3">
      <c r="A11" s="11" t="s">
        <v>19</v>
      </c>
      <c r="B11" s="14">
        <v>3191.46</v>
      </c>
      <c r="C11" s="14">
        <v>3697.32</v>
      </c>
      <c r="D11" s="14">
        <v>0</v>
      </c>
      <c r="E11" s="14">
        <v>0</v>
      </c>
      <c r="F11" s="14">
        <v>889.53</v>
      </c>
      <c r="G11" s="14">
        <v>11264.58</v>
      </c>
      <c r="H11" s="14">
        <v>6872.16</v>
      </c>
      <c r="I11" s="14">
        <v>0</v>
      </c>
      <c r="J11" s="14">
        <v>1339.69</v>
      </c>
      <c r="K11" s="14">
        <v>9452.61</v>
      </c>
      <c r="L11" s="14">
        <v>0</v>
      </c>
      <c r="M11" s="14">
        <v>0</v>
      </c>
      <c r="N11" s="14">
        <f t="shared" si="12"/>
        <v>36707.35</v>
      </c>
    </row>
    <row r="12" spans="1:18" ht="22.5" customHeight="1" thickBot="1" x14ac:dyDescent="0.3">
      <c r="A12" s="11" t="s">
        <v>26</v>
      </c>
      <c r="B12" s="14">
        <v>277.83999999999997</v>
      </c>
      <c r="C12" s="14">
        <v>277.83999999999997</v>
      </c>
      <c r="D12" s="14">
        <v>277.83999999999997</v>
      </c>
      <c r="E12" s="14">
        <v>277.83999999999997</v>
      </c>
      <c r="F12" s="14">
        <v>277.83999999999997</v>
      </c>
      <c r="G12" s="14">
        <v>277.83999999999997</v>
      </c>
      <c r="H12" s="14">
        <v>277.83999999999997</v>
      </c>
      <c r="I12" s="14">
        <v>306.64</v>
      </c>
      <c r="J12" s="14">
        <v>306.64</v>
      </c>
      <c r="K12" s="14">
        <v>306.64</v>
      </c>
      <c r="L12" s="14">
        <v>306.64</v>
      </c>
      <c r="M12" s="14">
        <v>306.64</v>
      </c>
      <c r="N12" s="14">
        <f t="shared" si="12"/>
        <v>3478.079999999999</v>
      </c>
    </row>
    <row r="13" spans="1:18" ht="22.5" hidden="1" customHeight="1" thickBot="1" x14ac:dyDescent="0.3">
      <c r="A13" s="11" t="s">
        <v>28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>
        <f t="shared" si="12"/>
        <v>0</v>
      </c>
    </row>
    <row r="14" spans="1:18" ht="24" customHeight="1" thickBot="1" x14ac:dyDescent="0.3">
      <c r="A14" s="11" t="s">
        <v>15</v>
      </c>
      <c r="B14" s="14">
        <v>300</v>
      </c>
      <c r="C14" s="14">
        <v>300</v>
      </c>
      <c r="D14" s="14">
        <v>300</v>
      </c>
      <c r="E14" s="14">
        <v>300</v>
      </c>
      <c r="F14" s="14">
        <v>300</v>
      </c>
      <c r="G14" s="14">
        <v>300</v>
      </c>
      <c r="H14" s="14">
        <v>300</v>
      </c>
      <c r="I14" s="14">
        <v>300</v>
      </c>
      <c r="J14" s="14">
        <v>300</v>
      </c>
      <c r="K14" s="14">
        <v>100</v>
      </c>
      <c r="L14" s="14">
        <v>100</v>
      </c>
      <c r="M14" s="14">
        <v>100</v>
      </c>
      <c r="N14" s="14">
        <f t="shared" si="12"/>
        <v>3000</v>
      </c>
    </row>
    <row r="15" spans="1:18" ht="20.25" customHeight="1" thickBot="1" x14ac:dyDescent="0.3">
      <c r="A15" s="8" t="s">
        <v>8</v>
      </c>
      <c r="B15" s="15">
        <f>SUM(B16:B22)</f>
        <v>87395.35</v>
      </c>
      <c r="C15" s="15">
        <f>SUM(C16:C22)</f>
        <v>65012.77</v>
      </c>
      <c r="D15" s="15">
        <f>SUM(D16:D22)</f>
        <v>67770.5</v>
      </c>
      <c r="E15" s="15">
        <f t="shared" ref="E15:M15" si="13">SUM(E16:E22)</f>
        <v>70558.33</v>
      </c>
      <c r="F15" s="15">
        <f t="shared" si="13"/>
        <v>59580.71</v>
      </c>
      <c r="G15" s="15">
        <f t="shared" si="13"/>
        <v>81031.83</v>
      </c>
      <c r="H15" s="15">
        <f t="shared" si="13"/>
        <v>97563.97</v>
      </c>
      <c r="I15" s="15">
        <f t="shared" si="13"/>
        <v>111106.3</v>
      </c>
      <c r="J15" s="15">
        <f t="shared" si="13"/>
        <v>102012.03000000001</v>
      </c>
      <c r="K15" s="15">
        <f t="shared" si="13"/>
        <v>88995.97</v>
      </c>
      <c r="L15" s="15">
        <f t="shared" si="13"/>
        <v>100666.09000000001</v>
      </c>
      <c r="M15" s="15">
        <f t="shared" si="13"/>
        <v>98128.599999999991</v>
      </c>
      <c r="N15" s="15">
        <f>SUM(B15:M15)</f>
        <v>1029822.4500000001</v>
      </c>
    </row>
    <row r="16" spans="1:18" ht="24" customHeight="1" thickBot="1" x14ac:dyDescent="0.3">
      <c r="A16" s="11" t="s">
        <v>27</v>
      </c>
      <c r="B16" s="14">
        <f>83424.3+1637.22+992.4</f>
        <v>86053.92</v>
      </c>
      <c r="C16" s="14">
        <f>63347.64+1269.64+45.75</f>
        <v>64663.03</v>
      </c>
      <c r="D16" s="14">
        <f>66212.39+1351.38</f>
        <v>67563.77</v>
      </c>
      <c r="E16" s="14">
        <f>68841.93+1350.36</f>
        <v>70192.289999999994</v>
      </c>
      <c r="F16" s="14">
        <f>58125.63+1223.94</f>
        <v>59349.57</v>
      </c>
      <c r="G16" s="14">
        <f>78697.43+1452.66</f>
        <v>80150.09</v>
      </c>
      <c r="H16" s="14">
        <f>87288.89+1522.49+72.66</f>
        <v>88884.040000000008</v>
      </c>
      <c r="I16" s="14">
        <f>100254.79+1699.58+175.8</f>
        <v>102130.17</v>
      </c>
      <c r="J16" s="14">
        <f>98530.91+1689.71+313.64</f>
        <v>100534.26000000001</v>
      </c>
      <c r="K16" s="14">
        <f>85885.66+1252.08</f>
        <v>87137.74</v>
      </c>
      <c r="L16" s="14">
        <f>90507.82+1329.05</f>
        <v>91836.87000000001</v>
      </c>
      <c r="M16" s="14">
        <f>95418.47+1457.48</f>
        <v>96875.95</v>
      </c>
      <c r="N16" s="14">
        <f>SUM(B16:M16)</f>
        <v>995371.70000000007</v>
      </c>
    </row>
    <row r="17" spans="1:15" ht="26.25" customHeight="1" thickBot="1" x14ac:dyDescent="0.3">
      <c r="A17" s="11" t="s">
        <v>17</v>
      </c>
      <c r="B17" s="14">
        <v>437.45</v>
      </c>
      <c r="C17" s="14">
        <v>49.39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1.1599999999999999</v>
      </c>
      <c r="M17" s="14">
        <v>0</v>
      </c>
      <c r="N17" s="14">
        <f t="shared" ref="N17:N22" si="14">SUM(B17:M17)</f>
        <v>488</v>
      </c>
    </row>
    <row r="18" spans="1:15" ht="26.25" customHeight="1" thickBot="1" x14ac:dyDescent="0.3">
      <c r="A18" s="11" t="s">
        <v>18</v>
      </c>
      <c r="B18" s="14">
        <v>70.02</v>
      </c>
      <c r="C18" s="14">
        <v>32.39</v>
      </c>
      <c r="D18" s="14">
        <v>32.43</v>
      </c>
      <c r="E18" s="14">
        <v>50.64</v>
      </c>
      <c r="F18" s="14">
        <v>101.06</v>
      </c>
      <c r="G18" s="14">
        <v>275.45</v>
      </c>
      <c r="H18" s="14">
        <v>246.86</v>
      </c>
      <c r="I18" s="14">
        <v>348.2</v>
      </c>
      <c r="J18" s="14">
        <v>342.72</v>
      </c>
      <c r="K18" s="14">
        <v>311.18</v>
      </c>
      <c r="L18" s="14">
        <v>326.5</v>
      </c>
      <c r="M18" s="14">
        <v>346.93</v>
      </c>
      <c r="N18" s="14">
        <f t="shared" si="14"/>
        <v>2484.3799999999997</v>
      </c>
    </row>
    <row r="19" spans="1:15" ht="24" customHeight="1" thickBot="1" x14ac:dyDescent="0.3">
      <c r="A19" s="11" t="s">
        <v>19</v>
      </c>
      <c r="B19" s="14">
        <v>597.57000000000005</v>
      </c>
      <c r="C19" s="14">
        <v>135.29</v>
      </c>
      <c r="D19" s="14">
        <v>66.91</v>
      </c>
      <c r="E19" s="21">
        <v>183.24</v>
      </c>
      <c r="F19" s="21">
        <v>17.23</v>
      </c>
      <c r="G19" s="21">
        <v>353.46</v>
      </c>
      <c r="H19" s="14">
        <v>8090.23</v>
      </c>
      <c r="I19" s="14">
        <v>6638.52</v>
      </c>
      <c r="J19" s="14">
        <v>713.8</v>
      </c>
      <c r="K19" s="14">
        <v>1178.5999999999999</v>
      </c>
      <c r="L19" s="14">
        <v>8120.52</v>
      </c>
      <c r="M19" s="14">
        <v>507.97</v>
      </c>
      <c r="N19" s="14">
        <f t="shared" si="14"/>
        <v>26603.34</v>
      </c>
    </row>
    <row r="20" spans="1:15" ht="24" customHeight="1" thickBot="1" x14ac:dyDescent="0.3">
      <c r="A20" s="11" t="s">
        <v>26</v>
      </c>
      <c r="B20" s="14">
        <v>136.38999999999999</v>
      </c>
      <c r="C20" s="14">
        <v>32.67</v>
      </c>
      <c r="D20" s="14">
        <v>7.39</v>
      </c>
      <c r="E20" s="14">
        <v>32.159999999999997</v>
      </c>
      <c r="F20" s="14">
        <v>12.85</v>
      </c>
      <c r="G20" s="14">
        <v>152.83000000000001</v>
      </c>
      <c r="H20" s="14">
        <v>242.84</v>
      </c>
      <c r="I20" s="14">
        <v>289.41000000000003</v>
      </c>
      <c r="J20" s="14">
        <v>321.25</v>
      </c>
      <c r="K20" s="14">
        <v>268.45</v>
      </c>
      <c r="L20" s="14">
        <v>281.04000000000002</v>
      </c>
      <c r="M20" s="14">
        <v>297.75</v>
      </c>
      <c r="N20" s="14">
        <f t="shared" si="14"/>
        <v>2075.0299999999997</v>
      </c>
    </row>
    <row r="21" spans="1:15" ht="24" hidden="1" customHeight="1" thickBot="1" x14ac:dyDescent="0.3">
      <c r="A21" s="11" t="s">
        <v>28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>
        <f t="shared" si="14"/>
        <v>0</v>
      </c>
    </row>
    <row r="22" spans="1:15" ht="21" customHeight="1" thickBot="1" x14ac:dyDescent="0.3">
      <c r="A22" s="11" t="s">
        <v>15</v>
      </c>
      <c r="B22" s="16">
        <v>100</v>
      </c>
      <c r="C22" s="16">
        <v>100</v>
      </c>
      <c r="D22" s="16">
        <v>100</v>
      </c>
      <c r="E22" s="16">
        <v>100</v>
      </c>
      <c r="F22" s="16">
        <v>100</v>
      </c>
      <c r="G22" s="16">
        <v>100</v>
      </c>
      <c r="H22" s="16">
        <v>100</v>
      </c>
      <c r="I22" s="16">
        <v>1700</v>
      </c>
      <c r="J22" s="16">
        <v>100</v>
      </c>
      <c r="K22" s="16">
        <v>100</v>
      </c>
      <c r="L22" s="16">
        <v>100</v>
      </c>
      <c r="M22" s="16">
        <v>100</v>
      </c>
      <c r="N22" s="14">
        <f t="shared" si="14"/>
        <v>2800</v>
      </c>
      <c r="O22" s="10"/>
    </row>
    <row r="23" spans="1:15" ht="21.75" customHeight="1" thickBot="1" x14ac:dyDescent="0.3">
      <c r="A23" s="9" t="s">
        <v>24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/>
    </row>
    <row r="24" spans="1:15" ht="19.5" customHeight="1" thickBot="1" x14ac:dyDescent="0.3">
      <c r="A24" s="11" t="s">
        <v>1</v>
      </c>
      <c r="B24" s="14">
        <f t="shared" ref="B24:M24" si="15">3577.5*0.6</f>
        <v>2146.5</v>
      </c>
      <c r="C24" s="14">
        <f t="shared" si="15"/>
        <v>2146.5</v>
      </c>
      <c r="D24" s="14">
        <f t="shared" si="15"/>
        <v>2146.5</v>
      </c>
      <c r="E24" s="14">
        <f t="shared" si="15"/>
        <v>2146.5</v>
      </c>
      <c r="F24" s="14">
        <f t="shared" si="15"/>
        <v>2146.5</v>
      </c>
      <c r="G24" s="14">
        <f t="shared" si="15"/>
        <v>2146.5</v>
      </c>
      <c r="H24" s="14">
        <f t="shared" si="15"/>
        <v>2146.5</v>
      </c>
      <c r="I24" s="14">
        <f t="shared" si="15"/>
        <v>2146.5</v>
      </c>
      <c r="J24" s="14">
        <f t="shared" si="15"/>
        <v>2146.5</v>
      </c>
      <c r="K24" s="14">
        <f t="shared" si="15"/>
        <v>2146.5</v>
      </c>
      <c r="L24" s="14">
        <f t="shared" si="15"/>
        <v>2146.5</v>
      </c>
      <c r="M24" s="14">
        <f t="shared" si="15"/>
        <v>2146.5</v>
      </c>
      <c r="N24" s="14">
        <f t="shared" ref="N24:N38" si="16">SUM(B24:M24)</f>
        <v>25758</v>
      </c>
    </row>
    <row r="25" spans="1:15" ht="22.5" customHeight="1" thickBot="1" x14ac:dyDescent="0.3">
      <c r="A25" s="11" t="s">
        <v>2</v>
      </c>
      <c r="B25" s="14">
        <f t="shared" ref="B25" si="17">3577.5*0.17</f>
        <v>608.17500000000007</v>
      </c>
      <c r="C25" s="14">
        <f>3577.5*0.2</f>
        <v>715.5</v>
      </c>
      <c r="D25" s="14">
        <f>3577.5*0.2</f>
        <v>715.5</v>
      </c>
      <c r="E25" s="14">
        <f t="shared" ref="E25:M25" si="18">3577.5*0.2</f>
        <v>715.5</v>
      </c>
      <c r="F25" s="14">
        <f t="shared" si="18"/>
        <v>715.5</v>
      </c>
      <c r="G25" s="14">
        <f t="shared" si="18"/>
        <v>715.5</v>
      </c>
      <c r="H25" s="14">
        <f t="shared" si="18"/>
        <v>715.5</v>
      </c>
      <c r="I25" s="14">
        <f t="shared" si="18"/>
        <v>715.5</v>
      </c>
      <c r="J25" s="14">
        <f t="shared" si="18"/>
        <v>715.5</v>
      </c>
      <c r="K25" s="14">
        <f t="shared" si="18"/>
        <v>715.5</v>
      </c>
      <c r="L25" s="14">
        <f t="shared" si="18"/>
        <v>715.5</v>
      </c>
      <c r="M25" s="14">
        <f t="shared" si="18"/>
        <v>715.5</v>
      </c>
      <c r="N25" s="14">
        <f t="shared" si="16"/>
        <v>8478.6749999999993</v>
      </c>
    </row>
    <row r="26" spans="1:15" ht="21" customHeight="1" thickBot="1" x14ac:dyDescent="0.3">
      <c r="A26" s="11" t="s">
        <v>3</v>
      </c>
      <c r="B26" s="14">
        <f>73720.9*2.3%</f>
        <v>1695.5806999999998</v>
      </c>
      <c r="C26" s="14">
        <f>74226.76*2.6%</f>
        <v>1929.8957600000001</v>
      </c>
      <c r="D26" s="14">
        <f>70529.44*2.6%</f>
        <v>1833.7654400000001</v>
      </c>
      <c r="E26" s="14">
        <f>70529.44*2.6%</f>
        <v>1833.7654400000001</v>
      </c>
      <c r="F26" s="14">
        <f>71418.97*2.6%</f>
        <v>1856.8932200000002</v>
      </c>
      <c r="G26" s="14">
        <f>111665.95*2.6%</f>
        <v>2903.3147000000004</v>
      </c>
      <c r="H26" s="14">
        <f>107356.06*2.6%</f>
        <v>2791.25756</v>
      </c>
      <c r="I26" s="14">
        <f>106370.11*2.6%</f>
        <v>2765.6228600000004</v>
      </c>
      <c r="J26" s="14">
        <f>121503.12*2.6%</f>
        <v>3159.0811200000003</v>
      </c>
      <c r="K26" s="14">
        <f>123823.94*2.6%</f>
        <v>3219.4224400000003</v>
      </c>
      <c r="L26" s="14">
        <f>112797.77*2.6%</f>
        <v>2932.7420200000001</v>
      </c>
      <c r="M26" s="14">
        <f>101887.26*2.6%</f>
        <v>2649.0687600000001</v>
      </c>
      <c r="N26" s="14">
        <f t="shared" si="16"/>
        <v>29570.410020000003</v>
      </c>
    </row>
    <row r="27" spans="1:15" ht="23.25" customHeight="1" thickBot="1" x14ac:dyDescent="0.3">
      <c r="A27" s="11" t="s">
        <v>4</v>
      </c>
      <c r="B27" s="14">
        <f>87295.35*3%</f>
        <v>2618.8605000000002</v>
      </c>
      <c r="C27" s="14">
        <f>64912.77*3%</f>
        <v>1947.3830999999998</v>
      </c>
      <c r="D27" s="14">
        <f>67670.5*3%</f>
        <v>2030.115</v>
      </c>
      <c r="E27" s="14">
        <f>70458.33*3%</f>
        <v>2113.7498999999998</v>
      </c>
      <c r="F27" s="14">
        <f>59480.71*3%</f>
        <v>1784.4213</v>
      </c>
      <c r="G27" s="14">
        <f>80931.83*3%</f>
        <v>2427.9549000000002</v>
      </c>
      <c r="H27" s="14">
        <f>97463.97*3%</f>
        <v>2923.9191000000001</v>
      </c>
      <c r="I27" s="14">
        <f>109406.3*3%</f>
        <v>3282.1889999999999</v>
      </c>
      <c r="J27" s="14">
        <f>101912.03*3%</f>
        <v>3057.3608999999997</v>
      </c>
      <c r="K27" s="14">
        <f>88895.97*3%</f>
        <v>2666.8791000000001</v>
      </c>
      <c r="L27" s="14">
        <f>100566.09*3%</f>
        <v>3016.9826999999996</v>
      </c>
      <c r="M27" s="14">
        <f>98028.6*3%</f>
        <v>2940.8580000000002</v>
      </c>
      <c r="N27" s="14">
        <f t="shared" si="16"/>
        <v>30810.673499999997</v>
      </c>
    </row>
    <row r="28" spans="1:15" ht="23.25" customHeight="1" thickBot="1" x14ac:dyDescent="0.3">
      <c r="A28" s="11" t="s">
        <v>9</v>
      </c>
      <c r="B28" s="14">
        <f>3577.5*12</f>
        <v>42930</v>
      </c>
      <c r="C28" s="14">
        <f t="shared" ref="C28:M28" si="19">3577.5*12</f>
        <v>42930</v>
      </c>
      <c r="D28" s="14">
        <f t="shared" si="19"/>
        <v>42930</v>
      </c>
      <c r="E28" s="14">
        <f t="shared" si="19"/>
        <v>42930</v>
      </c>
      <c r="F28" s="14">
        <f t="shared" si="19"/>
        <v>42930</v>
      </c>
      <c r="G28" s="14">
        <f t="shared" si="19"/>
        <v>42930</v>
      </c>
      <c r="H28" s="14">
        <f t="shared" si="19"/>
        <v>42930</v>
      </c>
      <c r="I28" s="14">
        <f t="shared" si="19"/>
        <v>42930</v>
      </c>
      <c r="J28" s="14">
        <f t="shared" si="19"/>
        <v>42930</v>
      </c>
      <c r="K28" s="14">
        <f t="shared" si="19"/>
        <v>42930</v>
      </c>
      <c r="L28" s="14">
        <f t="shared" si="19"/>
        <v>42930</v>
      </c>
      <c r="M28" s="14">
        <f t="shared" si="19"/>
        <v>42930</v>
      </c>
      <c r="N28" s="14">
        <f t="shared" si="16"/>
        <v>515160</v>
      </c>
    </row>
    <row r="29" spans="1:15" ht="20.399999999999999" customHeight="1" thickBot="1" x14ac:dyDescent="0.3">
      <c r="A29" s="11" t="s">
        <v>20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f>5282.49+574.9</f>
        <v>5857.3899999999994</v>
      </c>
      <c r="I29" s="14">
        <f>17722.05+1928.59</f>
        <v>19650.64</v>
      </c>
      <c r="J29" s="14">
        <f>12498.48+1360.16</f>
        <v>13858.64</v>
      </c>
      <c r="K29" s="14">
        <f>11079.49+1205.72</f>
        <v>12285.21</v>
      </c>
      <c r="L29" s="14">
        <f>1239.61+134.9</f>
        <v>1374.51</v>
      </c>
      <c r="M29" s="14">
        <v>0</v>
      </c>
      <c r="N29" s="14">
        <f t="shared" si="16"/>
        <v>53026.39</v>
      </c>
    </row>
    <row r="30" spans="1:15" ht="21" customHeight="1" thickBot="1" x14ac:dyDescent="0.3">
      <c r="A30" s="11" t="s">
        <v>21</v>
      </c>
      <c r="B30" s="14">
        <v>413.12</v>
      </c>
      <c r="C30" s="14">
        <v>413.12</v>
      </c>
      <c r="D30" s="14">
        <v>413.12</v>
      </c>
      <c r="E30" s="14">
        <v>413.12</v>
      </c>
      <c r="F30" s="14">
        <v>413.12</v>
      </c>
      <c r="G30" s="14">
        <v>413.12</v>
      </c>
      <c r="H30" s="14">
        <v>537.08000000000004</v>
      </c>
      <c r="I30" s="14">
        <v>537.08000000000004</v>
      </c>
      <c r="J30" s="14">
        <v>537.08000000000004</v>
      </c>
      <c r="K30" s="14">
        <v>537.08000000000004</v>
      </c>
      <c r="L30" s="14">
        <v>537.08000000000004</v>
      </c>
      <c r="M30" s="14">
        <v>537.08000000000004</v>
      </c>
      <c r="N30" s="14">
        <f t="shared" si="16"/>
        <v>5701.2</v>
      </c>
    </row>
    <row r="31" spans="1:15" ht="20.399999999999999" customHeight="1" thickBot="1" x14ac:dyDescent="0.3">
      <c r="A31" s="11" t="s">
        <v>22</v>
      </c>
      <c r="B31" s="14">
        <v>3697.4</v>
      </c>
      <c r="C31" s="14">
        <v>0</v>
      </c>
      <c r="D31" s="14">
        <v>0</v>
      </c>
      <c r="E31" s="14">
        <v>889.6</v>
      </c>
      <c r="F31" s="14">
        <v>11264.56</v>
      </c>
      <c r="G31" s="14">
        <v>6872.16</v>
      </c>
      <c r="H31" s="14">
        <v>0</v>
      </c>
      <c r="I31" s="14">
        <v>1339.64</v>
      </c>
      <c r="J31" s="14">
        <v>9452.6</v>
      </c>
      <c r="K31" s="14">
        <v>0</v>
      </c>
      <c r="L31" s="14">
        <v>0</v>
      </c>
      <c r="M31" s="14">
        <v>0</v>
      </c>
      <c r="N31" s="14">
        <f>SUM(B31:M31)</f>
        <v>33515.96</v>
      </c>
    </row>
    <row r="32" spans="1:15" ht="22.8" customHeight="1" thickBot="1" x14ac:dyDescent="0.3">
      <c r="A32" s="11" t="s">
        <v>26</v>
      </c>
      <c r="B32" s="14">
        <f>277.87+0</f>
        <v>277.87</v>
      </c>
      <c r="C32" s="14">
        <f t="shared" ref="C32:G32" si="20">277.87+0</f>
        <v>277.87</v>
      </c>
      <c r="D32" s="14">
        <f t="shared" si="20"/>
        <v>277.87</v>
      </c>
      <c r="E32" s="14">
        <f t="shared" si="20"/>
        <v>277.87</v>
      </c>
      <c r="F32" s="14">
        <f t="shared" si="20"/>
        <v>277.87</v>
      </c>
      <c r="G32" s="14">
        <f t="shared" si="20"/>
        <v>277.87</v>
      </c>
      <c r="H32" s="14">
        <f>306.67+0</f>
        <v>306.67</v>
      </c>
      <c r="I32" s="14">
        <f t="shared" ref="I32:M32" si="21">306.67+0</f>
        <v>306.67</v>
      </c>
      <c r="J32" s="14">
        <f t="shared" si="21"/>
        <v>306.67</v>
      </c>
      <c r="K32" s="14">
        <f t="shared" si="21"/>
        <v>306.67</v>
      </c>
      <c r="L32" s="14">
        <f t="shared" si="21"/>
        <v>306.67</v>
      </c>
      <c r="M32" s="14">
        <f t="shared" si="21"/>
        <v>306.67</v>
      </c>
      <c r="N32" s="14">
        <f t="shared" si="16"/>
        <v>3507.2400000000002</v>
      </c>
    </row>
    <row r="33" spans="1:14" ht="22.5" customHeight="1" thickBot="1" x14ac:dyDescent="0.3">
      <c r="A33" s="11" t="s">
        <v>6</v>
      </c>
      <c r="B33" s="14">
        <f t="shared" ref="B33:F33" si="22">3577.5*2.87</f>
        <v>10267.425000000001</v>
      </c>
      <c r="C33" s="14">
        <f t="shared" si="22"/>
        <v>10267.425000000001</v>
      </c>
      <c r="D33" s="14">
        <f t="shared" si="22"/>
        <v>10267.425000000001</v>
      </c>
      <c r="E33" s="14">
        <f t="shared" si="22"/>
        <v>10267.425000000001</v>
      </c>
      <c r="F33" s="14">
        <f t="shared" si="22"/>
        <v>10267.425000000001</v>
      </c>
      <c r="G33" s="14">
        <f>3577.5*4.13</f>
        <v>14775.074999999999</v>
      </c>
      <c r="H33" s="14">
        <f t="shared" ref="H33:M33" si="23">3577.5*4.13</f>
        <v>14775.074999999999</v>
      </c>
      <c r="I33" s="14">
        <f t="shared" si="23"/>
        <v>14775.074999999999</v>
      </c>
      <c r="J33" s="14">
        <f t="shared" si="23"/>
        <v>14775.074999999999</v>
      </c>
      <c r="K33" s="14">
        <f t="shared" si="23"/>
        <v>14775.074999999999</v>
      </c>
      <c r="L33" s="14">
        <f t="shared" si="23"/>
        <v>14775.074999999999</v>
      </c>
      <c r="M33" s="14">
        <f t="shared" si="23"/>
        <v>14775.074999999999</v>
      </c>
      <c r="N33" s="14">
        <f t="shared" si="16"/>
        <v>154762.65000000002</v>
      </c>
    </row>
    <row r="34" spans="1:14" ht="21.75" hidden="1" customHeight="1" thickBot="1" x14ac:dyDescent="0.3">
      <c r="A34" s="11" t="s">
        <v>28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>
        <f t="shared" si="16"/>
        <v>0</v>
      </c>
    </row>
    <row r="35" spans="1:14" ht="21.75" hidden="1" customHeight="1" thickBot="1" x14ac:dyDescent="0.3">
      <c r="A35" s="11" t="s">
        <v>29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>
        <f t="shared" si="16"/>
        <v>0</v>
      </c>
    </row>
    <row r="36" spans="1:14" ht="24.75" customHeight="1" thickBot="1" x14ac:dyDescent="0.3">
      <c r="A36" s="11" t="s">
        <v>25</v>
      </c>
      <c r="B36" s="14">
        <f>1000</f>
        <v>1000</v>
      </c>
      <c r="C36" s="14">
        <f>1000</f>
        <v>1000</v>
      </c>
      <c r="D36" s="14">
        <f>1000</f>
        <v>1000</v>
      </c>
      <c r="E36" s="14">
        <f>1000</f>
        <v>1000</v>
      </c>
      <c r="F36" s="14">
        <f>1000</f>
        <v>1000</v>
      </c>
      <c r="G36" s="14">
        <f>1000</f>
        <v>1000</v>
      </c>
      <c r="H36" s="14">
        <f>1000</f>
        <v>1000</v>
      </c>
      <c r="I36" s="14">
        <f>1000</f>
        <v>1000</v>
      </c>
      <c r="J36" s="14">
        <f>1000</f>
        <v>1000</v>
      </c>
      <c r="K36" s="14">
        <f>1000</f>
        <v>1000</v>
      </c>
      <c r="L36" s="14">
        <f>1000</f>
        <v>1000</v>
      </c>
      <c r="M36" s="14">
        <f>1000</f>
        <v>1000</v>
      </c>
      <c r="N36" s="14">
        <f t="shared" si="16"/>
        <v>12000</v>
      </c>
    </row>
    <row r="37" spans="1:14" ht="24.75" customHeight="1" thickBot="1" x14ac:dyDescent="0.3">
      <c r="A37" s="11" t="s">
        <v>14</v>
      </c>
      <c r="B37" s="14">
        <v>0</v>
      </c>
      <c r="C37" s="14">
        <v>0</v>
      </c>
      <c r="D37" s="14">
        <v>0</v>
      </c>
      <c r="E37" s="14">
        <v>22857.51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f t="shared" si="16"/>
        <v>22857.51</v>
      </c>
    </row>
    <row r="38" spans="1:14" ht="24" customHeight="1" thickBot="1" x14ac:dyDescent="0.3">
      <c r="A38" s="11" t="s">
        <v>10</v>
      </c>
      <c r="B38" s="14">
        <f>13962.7</f>
        <v>13962.7</v>
      </c>
      <c r="C38" s="14">
        <f>3325.6</f>
        <v>3325.6</v>
      </c>
      <c r="D38" s="14">
        <v>0</v>
      </c>
      <c r="E38" s="14">
        <v>0</v>
      </c>
      <c r="F38" s="14">
        <f>4271.8+600</f>
        <v>4871.8</v>
      </c>
      <c r="G38" s="14">
        <v>0</v>
      </c>
      <c r="H38" s="14">
        <f>4162.6+22995</f>
        <v>27157.599999999999</v>
      </c>
      <c r="I38" s="14">
        <f>939.3+8250.2+1220.8</f>
        <v>10410.299999999999</v>
      </c>
      <c r="J38" s="14">
        <f>11579.8+2853.3+6490.2+4151.2</f>
        <v>25074.5</v>
      </c>
      <c r="K38" s="14">
        <f>4654.5+3383.4</f>
        <v>8037.9</v>
      </c>
      <c r="L38" s="14">
        <f>1423.5+12038+2859.3</f>
        <v>16320.8</v>
      </c>
      <c r="M38" s="14">
        <f>145</f>
        <v>145</v>
      </c>
      <c r="N38" s="14">
        <f t="shared" si="16"/>
        <v>109306.2</v>
      </c>
    </row>
    <row r="39" spans="1:14" ht="22.5" customHeight="1" thickBot="1" x14ac:dyDescent="0.3">
      <c r="A39" s="6" t="s">
        <v>23</v>
      </c>
      <c r="B39" s="13">
        <f t="shared" ref="B39:M39" si="24">SUM(B24:B38)</f>
        <v>79617.631200000018</v>
      </c>
      <c r="C39" s="13">
        <f t="shared" si="24"/>
        <v>64953.293860000005</v>
      </c>
      <c r="D39" s="13">
        <f t="shared" si="24"/>
        <v>61614.295440000009</v>
      </c>
      <c r="E39" s="13">
        <f t="shared" si="24"/>
        <v>85445.040340000007</v>
      </c>
      <c r="F39" s="13">
        <f t="shared" si="24"/>
        <v>77528.089520000009</v>
      </c>
      <c r="G39" s="13">
        <f t="shared" si="24"/>
        <v>74461.494600000005</v>
      </c>
      <c r="H39" s="13">
        <f t="shared" si="24"/>
        <v>101140.99166</v>
      </c>
      <c r="I39" s="13">
        <f t="shared" si="24"/>
        <v>99859.21686</v>
      </c>
      <c r="J39" s="13">
        <f t="shared" si="24"/>
        <v>117013.00702</v>
      </c>
      <c r="K39" s="13">
        <f t="shared" si="24"/>
        <v>88620.236539999998</v>
      </c>
      <c r="L39" s="13">
        <f t="shared" si="24"/>
        <v>86055.859720000008</v>
      </c>
      <c r="M39" s="13">
        <f t="shared" si="24"/>
        <v>68145.751759999999</v>
      </c>
      <c r="N39" s="13">
        <f>SUM(B39:M39)</f>
        <v>1004454.9085199999</v>
      </c>
    </row>
    <row r="40" spans="1:14" ht="23.25" customHeight="1" thickBot="1" x14ac:dyDescent="0.3">
      <c r="A40" s="7" t="s">
        <v>5</v>
      </c>
      <c r="B40" s="19">
        <f t="shared" ref="B40:N40" si="25">B15-B39</f>
        <v>7777.7187999999878</v>
      </c>
      <c r="C40" s="19">
        <f t="shared" si="25"/>
        <v>59.476139999991574</v>
      </c>
      <c r="D40" s="19">
        <f t="shared" si="25"/>
        <v>6156.204559999991</v>
      </c>
      <c r="E40" s="19">
        <f t="shared" si="25"/>
        <v>-14886.710340000005</v>
      </c>
      <c r="F40" s="19">
        <f t="shared" si="25"/>
        <v>-17947.37952000001</v>
      </c>
      <c r="G40" s="19">
        <f t="shared" si="25"/>
        <v>6570.3353999999963</v>
      </c>
      <c r="H40" s="19">
        <f t="shared" si="25"/>
        <v>-3577.0216599999985</v>
      </c>
      <c r="I40" s="19">
        <f t="shared" si="25"/>
        <v>11247.083140000002</v>
      </c>
      <c r="J40" s="19">
        <f t="shared" si="25"/>
        <v>-15000.977019999991</v>
      </c>
      <c r="K40" s="19">
        <f t="shared" si="25"/>
        <v>375.73346000000311</v>
      </c>
      <c r="L40" s="19">
        <f t="shared" si="25"/>
        <v>14610.230280000003</v>
      </c>
      <c r="M40" s="19">
        <f t="shared" si="25"/>
        <v>29982.848239999992</v>
      </c>
      <c r="N40" s="14">
        <f t="shared" si="25"/>
        <v>25367.541480000131</v>
      </c>
    </row>
    <row r="41" spans="1:14" ht="23.25" customHeight="1" thickBot="1" x14ac:dyDescent="0.3">
      <c r="A41" s="7" t="s">
        <v>7</v>
      </c>
      <c r="B41" s="16">
        <f t="shared" ref="B41:N41" si="26">B5+B40</f>
        <v>-584125.10119999992</v>
      </c>
      <c r="C41" s="16">
        <f t="shared" si="26"/>
        <v>-584065.62505999987</v>
      </c>
      <c r="D41" s="16">
        <f t="shared" si="26"/>
        <v>-577909.42049999989</v>
      </c>
      <c r="E41" s="16">
        <f t="shared" si="26"/>
        <v>-592796.13083999988</v>
      </c>
      <c r="F41" s="16">
        <f t="shared" si="26"/>
        <v>-610743.51035999984</v>
      </c>
      <c r="G41" s="16">
        <f t="shared" si="26"/>
        <v>-604173.17495999986</v>
      </c>
      <c r="H41" s="16">
        <f t="shared" si="26"/>
        <v>-607750.19661999983</v>
      </c>
      <c r="I41" s="16">
        <f t="shared" si="26"/>
        <v>-596503.11347999983</v>
      </c>
      <c r="J41" s="16">
        <f t="shared" si="26"/>
        <v>-611504.09049999982</v>
      </c>
      <c r="K41" s="16">
        <f t="shared" si="26"/>
        <v>-611128.3570399998</v>
      </c>
      <c r="L41" s="16">
        <f t="shared" si="26"/>
        <v>-596518.12675999978</v>
      </c>
      <c r="M41" s="16">
        <f t="shared" si="26"/>
        <v>-566535.27851999982</v>
      </c>
      <c r="N41" s="16">
        <f t="shared" si="26"/>
        <v>-566535.27851999982</v>
      </c>
    </row>
    <row r="42" spans="1:14" ht="23.25" customHeight="1" thickBot="1" x14ac:dyDescent="0.3">
      <c r="A42" s="7" t="s">
        <v>43</v>
      </c>
      <c r="B42" s="14">
        <v>0</v>
      </c>
      <c r="C42" s="14">
        <v>0</v>
      </c>
      <c r="D42" s="14">
        <v>44268.12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f>SUM(B42:M42)</f>
        <v>44268.12</v>
      </c>
    </row>
    <row r="43" spans="1:14" ht="27" customHeight="1" thickBot="1" x14ac:dyDescent="0.3">
      <c r="A43" s="9" t="s">
        <v>11</v>
      </c>
      <c r="B43" s="20">
        <f>B6+B15-B7</f>
        <v>-128979.90999999999</v>
      </c>
      <c r="C43" s="20">
        <f>C6+C15-C7</f>
        <v>-138493.9</v>
      </c>
      <c r="D43" s="20">
        <f>D6+D15-D7+D42</f>
        <v>-97284.72</v>
      </c>
      <c r="E43" s="20">
        <f t="shared" ref="E43:N43" si="27">E6+E15-E7+E42</f>
        <v>-97555.83</v>
      </c>
      <c r="F43" s="20">
        <f t="shared" si="27"/>
        <v>-109694.09</v>
      </c>
      <c r="G43" s="20">
        <f t="shared" si="27"/>
        <v>-140628.21</v>
      </c>
      <c r="H43" s="20">
        <f t="shared" si="27"/>
        <v>-150720.29999999999</v>
      </c>
      <c r="I43" s="20">
        <f t="shared" si="27"/>
        <v>-146284.10999999999</v>
      </c>
      <c r="J43" s="20">
        <f t="shared" si="27"/>
        <v>-166075.19999999995</v>
      </c>
      <c r="K43" s="20">
        <f t="shared" si="27"/>
        <v>-201003.16999999995</v>
      </c>
      <c r="L43" s="20">
        <f t="shared" si="27"/>
        <v>-213234.84999999992</v>
      </c>
      <c r="M43" s="20">
        <f t="shared" si="27"/>
        <v>-217093.50999999992</v>
      </c>
      <c r="N43" s="20">
        <f t="shared" si="27"/>
        <v>-217093.50999999989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2026-02-12T07:32:53Z</cp:lastPrinted>
  <dcterms:created xsi:type="dcterms:W3CDTF">2011-06-06T03:25:48Z</dcterms:created>
  <dcterms:modified xsi:type="dcterms:W3CDTF">2026-02-12T07:44:03Z</dcterms:modified>
</cp:coreProperties>
</file>