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L20" i="1" l="1"/>
  <c r="M11" i="1"/>
  <c r="K11" i="1"/>
  <c r="N43" i="1" l="1"/>
  <c r="C43" i="1"/>
  <c r="D43" i="1"/>
  <c r="E43" i="1"/>
  <c r="F43" i="1"/>
  <c r="G43" i="1"/>
  <c r="H43" i="1"/>
  <c r="I43" i="1"/>
  <c r="J43" i="1"/>
  <c r="K43" i="1"/>
  <c r="L43" i="1"/>
  <c r="M43" i="1"/>
  <c r="B43" i="1"/>
  <c r="N41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2" i="1"/>
  <c r="N25" i="1"/>
  <c r="M18" i="1" l="1"/>
  <c r="M21" i="1"/>
  <c r="M19" i="1"/>
  <c r="M9" i="1"/>
  <c r="M12" i="1"/>
  <c r="M10" i="1"/>
  <c r="L21" i="1"/>
  <c r="L19" i="1"/>
  <c r="L9" i="1"/>
  <c r="L12" i="1"/>
  <c r="L10" i="1"/>
  <c r="K21" i="1"/>
  <c r="K20" i="1"/>
  <c r="K19" i="1"/>
  <c r="K12" i="1"/>
  <c r="K10" i="1"/>
  <c r="M42" i="1" l="1"/>
  <c r="L42" i="1" l="1"/>
  <c r="M40" i="1" l="1"/>
  <c r="L40" i="1"/>
  <c r="K40" i="1" l="1"/>
  <c r="K42" i="1" l="1"/>
  <c r="L33" i="1" l="1"/>
  <c r="M33" i="1"/>
  <c r="K33" i="1"/>
  <c r="M30" i="1"/>
  <c r="L30" i="1"/>
  <c r="K30" i="1"/>
  <c r="M28" i="1" l="1"/>
  <c r="M16" i="1"/>
  <c r="M27" i="1"/>
  <c r="L28" i="1" l="1"/>
  <c r="L16" i="1"/>
  <c r="L27" i="1"/>
  <c r="J42" i="1" l="1"/>
  <c r="K28" i="1" l="1"/>
  <c r="K16" i="1"/>
  <c r="K27" i="1"/>
  <c r="K35" i="1" l="1"/>
  <c r="L35" i="1"/>
  <c r="M35" i="1"/>
  <c r="K34" i="1"/>
  <c r="L34" i="1"/>
  <c r="M34" i="1"/>
  <c r="K29" i="1"/>
  <c r="L29" i="1"/>
  <c r="M29" i="1"/>
  <c r="K26" i="1"/>
  <c r="L26" i="1"/>
  <c r="M26" i="1"/>
  <c r="K25" i="1"/>
  <c r="L25" i="1"/>
  <c r="M25" i="1"/>
  <c r="J11" i="1" l="1"/>
  <c r="I11" i="1"/>
  <c r="J21" i="1" l="1"/>
  <c r="J20" i="1"/>
  <c r="J19" i="1"/>
  <c r="J12" i="1"/>
  <c r="J10" i="1"/>
  <c r="I21" i="1"/>
  <c r="I19" i="1"/>
  <c r="I20" i="1"/>
  <c r="I12" i="1"/>
  <c r="I10" i="1"/>
  <c r="H21" i="1"/>
  <c r="H19" i="1"/>
  <c r="H12" i="1"/>
  <c r="H11" i="1"/>
  <c r="H10" i="1"/>
  <c r="I33" i="1" l="1"/>
  <c r="J33" i="1"/>
  <c r="H33" i="1"/>
  <c r="H30" i="1"/>
  <c r="I30" i="1"/>
  <c r="J30" i="1"/>
  <c r="J35" i="1" l="1"/>
  <c r="I35" i="1"/>
  <c r="H35" i="1"/>
  <c r="J40" i="1"/>
  <c r="I40" i="1" l="1"/>
  <c r="H42" i="1" l="1"/>
  <c r="H40" i="1" l="1"/>
  <c r="I42" i="1" l="1"/>
  <c r="J28" i="1" l="1"/>
  <c r="J16" i="1"/>
  <c r="J27" i="1"/>
  <c r="I28" i="1" l="1"/>
  <c r="I16" i="1"/>
  <c r="I27" i="1"/>
  <c r="H28" i="1" l="1"/>
  <c r="G29" i="1"/>
  <c r="H29" i="1"/>
  <c r="I29" i="1"/>
  <c r="J29" i="1"/>
  <c r="H27" i="1"/>
  <c r="H26" i="1"/>
  <c r="I26" i="1"/>
  <c r="J26" i="1"/>
  <c r="H25" i="1"/>
  <c r="I25" i="1"/>
  <c r="J25" i="1"/>
  <c r="J34" i="1"/>
  <c r="H34" i="1"/>
  <c r="I34" i="1"/>
  <c r="D11" i="1" l="1"/>
  <c r="C11" i="1"/>
  <c r="G21" i="1" l="1"/>
  <c r="G19" i="1"/>
  <c r="G12" i="1"/>
  <c r="G10" i="1"/>
  <c r="F21" i="1"/>
  <c r="F19" i="1"/>
  <c r="F12" i="1"/>
  <c r="F10" i="1"/>
  <c r="E21" i="1"/>
  <c r="E19" i="1"/>
  <c r="E20" i="1"/>
  <c r="E12" i="1"/>
  <c r="E10" i="1"/>
  <c r="G40" i="1" l="1"/>
  <c r="F40" i="1" l="1"/>
  <c r="E40" i="1" l="1"/>
  <c r="E42" i="1" l="1"/>
  <c r="G35" i="1" l="1"/>
  <c r="F35" i="1"/>
  <c r="E35" i="1" l="1"/>
  <c r="F42" i="1" l="1"/>
  <c r="E33" i="1" l="1"/>
  <c r="F33" i="1"/>
  <c r="G33" i="1"/>
  <c r="E30" i="1"/>
  <c r="F30" i="1"/>
  <c r="G30" i="1"/>
  <c r="G42" i="1" l="1"/>
  <c r="G28" i="1" l="1"/>
  <c r="G27" i="1"/>
  <c r="F28" i="1" l="1"/>
  <c r="F27" i="1"/>
  <c r="E28" i="1" l="1"/>
  <c r="E27" i="1"/>
  <c r="E34" i="1" l="1"/>
  <c r="F34" i="1"/>
  <c r="G34" i="1"/>
  <c r="E29" i="1"/>
  <c r="F29" i="1"/>
  <c r="E26" i="1"/>
  <c r="F26" i="1"/>
  <c r="G26" i="1"/>
  <c r="E25" i="1"/>
  <c r="F25" i="1"/>
  <c r="G25" i="1"/>
  <c r="D18" i="1" l="1"/>
  <c r="D21" i="1"/>
  <c r="D20" i="1"/>
  <c r="D19" i="1"/>
  <c r="D12" i="1"/>
  <c r="D10" i="1"/>
  <c r="C18" i="1"/>
  <c r="C21" i="1"/>
  <c r="C20" i="1"/>
  <c r="C19" i="1"/>
  <c r="C9" i="1"/>
  <c r="C12" i="1"/>
  <c r="C10" i="1"/>
  <c r="B21" i="1"/>
  <c r="B20" i="1"/>
  <c r="B19" i="1"/>
  <c r="B9" i="1"/>
  <c r="B12" i="1"/>
  <c r="B11" i="1"/>
  <c r="B10" i="1"/>
  <c r="C33" i="1" l="1"/>
  <c r="D33" i="1"/>
  <c r="B33" i="1"/>
  <c r="D30" i="1"/>
  <c r="C30" i="1"/>
  <c r="B30" i="1"/>
  <c r="C42" i="1" l="1"/>
  <c r="D35" i="1" l="1"/>
  <c r="C35" i="1" l="1"/>
  <c r="D40" i="1"/>
  <c r="C40" i="1"/>
  <c r="B40" i="1" l="1"/>
  <c r="D42" i="1" l="1"/>
  <c r="D27" i="1" l="1"/>
  <c r="C29" i="1" l="1"/>
  <c r="D29" i="1"/>
  <c r="B29" i="1"/>
  <c r="C27" i="1" l="1"/>
  <c r="D26" i="1"/>
  <c r="C26" i="1"/>
  <c r="D28" i="1" l="1"/>
  <c r="C34" i="1" l="1"/>
  <c r="D34" i="1"/>
  <c r="B34" i="1"/>
  <c r="B26" i="1"/>
  <c r="C25" i="1"/>
  <c r="D25" i="1"/>
  <c r="B25" i="1"/>
  <c r="C28" i="1" l="1"/>
  <c r="B28" i="1" l="1"/>
  <c r="B27" i="1"/>
  <c r="B35" i="1" l="1"/>
  <c r="N23" i="1" l="1"/>
  <c r="D15" i="1" l="1"/>
  <c r="N8" i="1" l="1"/>
  <c r="N9" i="1"/>
  <c r="N10" i="1"/>
  <c r="N11" i="1"/>
  <c r="N12" i="1"/>
  <c r="N13" i="1"/>
  <c r="N14" i="1"/>
  <c r="N7" i="1"/>
  <c r="J15" i="1" l="1"/>
  <c r="I15" i="1"/>
  <c r="J44" i="1" l="1"/>
  <c r="H15" i="1"/>
  <c r="G15" i="1" l="1"/>
  <c r="F15" i="1"/>
  <c r="E15" i="1"/>
  <c r="G44" i="1" l="1"/>
  <c r="F44" i="1"/>
  <c r="E44" i="1"/>
  <c r="C15" i="1"/>
  <c r="B15" i="1"/>
  <c r="N5" i="1" l="1"/>
  <c r="N4" i="1"/>
  <c r="K6" i="1" l="1"/>
  <c r="N17" i="1"/>
  <c r="K15" i="1"/>
  <c r="L15" i="1"/>
  <c r="M15" i="1"/>
  <c r="L6" i="1"/>
  <c r="M6" i="1"/>
  <c r="N15" i="1" l="1"/>
  <c r="M44" i="1"/>
  <c r="L44" i="1"/>
  <c r="K44" i="1" l="1"/>
  <c r="J6" i="1"/>
  <c r="I44" i="1"/>
  <c r="I6" i="1"/>
  <c r="H6" i="1"/>
  <c r="H44" i="1"/>
  <c r="D44" i="1" l="1"/>
  <c r="D6" i="1"/>
  <c r="C44" i="1"/>
  <c r="C6" i="1"/>
  <c r="B6" i="1"/>
  <c r="N18" i="1" l="1"/>
  <c r="N22" i="1"/>
  <c r="E6" i="1"/>
  <c r="N20" i="1"/>
  <c r="N16" i="1"/>
  <c r="N21" i="1"/>
  <c r="G6" i="1"/>
  <c r="N19" i="1"/>
  <c r="F6" i="1"/>
  <c r="N6" i="1" l="1"/>
  <c r="N46" i="1" s="1"/>
  <c r="B44" i="1"/>
  <c r="B45" i="1" s="1"/>
  <c r="N44" i="1"/>
  <c r="N45" i="1" s="1"/>
  <c r="B46" i="1"/>
  <c r="C5" i="1" s="1"/>
  <c r="C46" i="1" l="1"/>
  <c r="D5" i="1" s="1"/>
  <c r="D46" i="1" s="1"/>
  <c r="E5" i="1" s="1"/>
  <c r="E46" i="1" s="1"/>
  <c r="F5" i="1" l="1"/>
  <c r="C4" i="1"/>
  <c r="C45" i="1" s="1"/>
  <c r="F46" i="1" l="1"/>
  <c r="G5" i="1" s="1"/>
  <c r="D4" i="1"/>
  <c r="D45" i="1" s="1"/>
  <c r="G46" i="1" l="1"/>
  <c r="H5" i="1" s="1"/>
  <c r="H46" i="1" s="1"/>
  <c r="I5" i="1" s="1"/>
  <c r="I46" i="1" s="1"/>
  <c r="E4" i="1"/>
  <c r="E45" i="1" s="1"/>
  <c r="J5" i="1" l="1"/>
  <c r="J46" i="1" s="1"/>
  <c r="F4" i="1"/>
  <c r="F45" i="1" s="1"/>
  <c r="K5" i="1" l="1"/>
  <c r="G4" i="1"/>
  <c r="G45" i="1" s="1"/>
  <c r="K46" i="1" l="1"/>
  <c r="L5" i="1" s="1"/>
  <c r="L46" i="1" s="1"/>
  <c r="M5" i="1" s="1"/>
  <c r="M46" i="1" s="1"/>
  <c r="H4" i="1"/>
  <c r="H45" i="1" s="1"/>
  <c r="I4" i="1" l="1"/>
  <c r="I45" i="1" l="1"/>
  <c r="J4" i="1" s="1"/>
  <c r="J45" i="1" l="1"/>
  <c r="K4" i="1" s="1"/>
  <c r="K45" i="1" s="1"/>
  <c r="L4" i="1" s="1"/>
  <c r="L45" i="1" s="1"/>
  <c r="M4" i="1" s="1"/>
  <c r="M45" i="1" s="1"/>
</calcChain>
</file>

<file path=xl/sharedStrings.xml><?xml version="1.0" encoding="utf-8"?>
<sst xmlns="http://schemas.openxmlformats.org/spreadsheetml/2006/main" count="58" uniqueCount="50">
  <si>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</si>
  <si>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</si>
  <si>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</si>
  <si>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</si>
  <si>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</si>
  <si>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</si>
  <si>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</si>
  <si>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</si>
  <si>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</si>
  <si>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</si>
  <si>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</si>
  <si>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</si>
  <si>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</si>
  <si>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</si>
  <si>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</si>
  <si>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</si>
  <si>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</si>
  <si>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</si>
  <si>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</si>
  <si>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</si>
  <si>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</si>
  <si>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</si>
  <si>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</si>
  <si>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</si>
  <si>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Доход от использования общего имущества</t>
  </si>
  <si>
    <t>Комплексное обслуживание лифтов</t>
  </si>
  <si>
    <t>Периодическое техническое освидетельствование лифтов</t>
  </si>
  <si>
    <t>Услуги охраны, диспетчеризации и мониторинга</t>
  </si>
  <si>
    <t xml:space="preserve">Отведение сточных вод ОИ </t>
  </si>
  <si>
    <t>Содержание жилья и текущий ремонт,  ОПУ/ жилые</t>
  </si>
  <si>
    <t>Содержание жилья и текущий ремонт, ОПУ/ нежилые</t>
  </si>
  <si>
    <t>Содержание жилья и текущий ремонт,  ОПУ</t>
  </si>
  <si>
    <t>Содержание жилья и текущий ремонт,  ОПУ/ нежилые</t>
  </si>
  <si>
    <t>Вознаграждение совета МКД</t>
  </si>
  <si>
    <t>Налоги с вознаграждения совета МКД</t>
  </si>
  <si>
    <t>Январь 2025г.</t>
  </si>
  <si>
    <t>Февраль 2025г.</t>
  </si>
  <si>
    <t>Март 2025г.</t>
  </si>
  <si>
    <t>Апрель 2025г.</t>
  </si>
  <si>
    <t>Май 2025г.</t>
  </si>
  <si>
    <t>Июнь 2025г.</t>
  </si>
  <si>
    <t>Июль 2025г</t>
  </si>
  <si>
    <t>Август 2025г.</t>
  </si>
  <si>
    <t>Сентябрь 2025г.</t>
  </si>
  <si>
    <t>Октябрь 2025г.</t>
  </si>
  <si>
    <t>Ноябрь 2025г.</t>
  </si>
  <si>
    <t>Декабрь 2025г</t>
  </si>
  <si>
    <t>Всего:                       за  2025г</t>
  </si>
  <si>
    <t>Услуга по выкату и перемещению контейнеров с отходами</t>
  </si>
  <si>
    <t xml:space="preserve">                 ОТЧЕТ по дому Коммунарский, 16/1 за период 01.01.2025г. по 31.12.2025г.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</si>
</sst>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5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9" fillId="2" borderId="4" xfId="0" applyNumberFormat="1" applyFont="1" applyFill="1" applyBorder="1" applyAlignment="1">
      <alignment horizontal="left" vertical="top" wrapText="1"/>
    </xf>
    <xf numFmtId="164" fontId="9" fillId="3" borderId="4" xfId="0" applyNumberFormat="1" applyFont="1" applyFill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9" fillId="4" borderId="4" xfId="0" applyNumberFormat="1" applyFont="1" applyFill="1" applyBorder="1" applyAlignment="1">
      <alignment horizontal="left" vertical="top" wrapText="1"/>
    </xf>
    <xf numFmtId="164" fontId="7" fillId="0" borderId="6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9" fillId="0" borderId="5" xfId="0" applyNumberFormat="1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0" fillId="0" borderId="0" xfId="0" applyNumberFormat="1"/>
    <xf numFmtId="0" fontId="7" fillId="0" borderId="3" xfId="0" applyFont="1" applyFill="1" applyBorder="1" applyAlignment="1">
      <alignment vertical="top" wrapText="1"/>
    </xf>
    <xf numFmtId="0" fontId="0" fillId="0" borderId="0" xfId="0" applyFill="1"/>
    <xf numFmtId="164" fontId="7" fillId="0" borderId="4" xfId="0" applyNumberFormat="1" applyFont="1" applyBorder="1" applyAlignment="1">
      <alignment horizontal="left" vertical="top" wrapText="1"/>
    </xf>
    <xf numFmtId="164" fontId="7" fillId="0" borderId="4" xfId="0" applyNumberFormat="1" applyFont="1" applyFill="1" applyBorder="1" applyAlignment="1">
      <alignment horizontal="left" vertical="top" wrapText="1"/>
    </xf>
    <xf numFmtId="4" fontId="0" fillId="0" borderId="0" xfId="0" applyNumberFormat="1"/>
    <xf numFmtId="164" fontId="0" fillId="0" borderId="0" xfId="0" applyNumberFormat="1" applyFill="1"/>
    <xf numFmtId="164" fontId="9" fillId="5" borderId="4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  <xf numFmtId="164" fontId="9" fillId="0" borderId="4" xfId="0" applyNumberFormat="1" applyFont="1" applyFill="1" applyBorder="1" applyAlignment="1">
      <alignment horizontal="left" vertical="top" wrapText="1"/>
    </xf>
    <xf numFmtId="164" fontId="7" fillId="0" borderId="6" xfId="0" applyNumberFormat="1" applyFont="1" applyFill="1" applyBorder="1" applyAlignment="1">
      <alignment horizontal="left" vertical="top" wrapText="1"/>
    </xf>
    <xf numFmtId="164" fontId="7" fillId="0" borderId="2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 wrapText="1"/>
    </xf>
    <xf numFmtId="164" fontId="9" fillId="0" borderId="5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tabSelected="1" topLeftCell="C4" zoomScale="75" workbookViewId="0">
      <selection activeCell="L21" sqref="L21"/>
    </sheetView>
  </sheetViews>
  <sheetFormatPr defaultRowHeight="13.2" x14ac:dyDescent="0.25"/>
  <cols>
    <col min="1" max="1" width="58.6640625" customWidth="1"/>
    <col min="2" max="2" width="14.5546875" customWidth="1"/>
    <col min="3" max="6" width="14.33203125" customWidth="1"/>
    <col min="7" max="7" width="14.33203125" style="22" customWidth="1"/>
    <col min="8" max="10" width="14.33203125" customWidth="1"/>
    <col min="11" max="12" width="15.109375" customWidth="1"/>
    <col min="13" max="13" width="15.77734375" customWidth="1"/>
    <col min="14" max="14" width="15.109375" customWidth="1"/>
    <col min="15" max="15" width="10.44140625" bestFit="1" customWidth="1"/>
    <col min="17" max="17" width="16.6640625" customWidth="1"/>
    <col min="18" max="18" width="15.5546875" bestFit="1" customWidth="1"/>
  </cols>
  <sheetData>
    <row r="1" spans="1:18" ht="20.25" customHeight="1" x14ac:dyDescent="0.35">
      <c r="A1" s="34" t="s">
        <v>49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8" ht="7.5" customHeight="1" thickBot="1" x14ac:dyDescent="0.3">
      <c r="A2" s="1"/>
      <c r="R2" s="2"/>
    </row>
    <row r="3" spans="1:18" ht="38.25" customHeight="1" thickBot="1" x14ac:dyDescent="0.3">
      <c r="A3" s="3" t="s">
        <v>0</v>
      </c>
      <c r="B3" s="4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28" t="s">
        <v>40</v>
      </c>
      <c r="H3" s="4" t="s">
        <v>41</v>
      </c>
      <c r="I3" s="4" t="s">
        <v>42</v>
      </c>
      <c r="J3" s="4" t="s">
        <v>43</v>
      </c>
      <c r="K3" s="4" t="s">
        <v>44</v>
      </c>
      <c r="L3" s="4" t="s">
        <v>45</v>
      </c>
      <c r="M3" s="4" t="s">
        <v>46</v>
      </c>
      <c r="N3" s="4" t="s">
        <v>47</v>
      </c>
    </row>
    <row r="4" spans="1:18" ht="23.25" customHeight="1" thickBot="1" x14ac:dyDescent="0.3">
      <c r="A4" s="5" t="s">
        <v>14</v>
      </c>
      <c r="B4" s="11">
        <v>-405916.89</v>
      </c>
      <c r="C4" s="11">
        <f t="shared" ref="C4:D4" si="0">B45</f>
        <v>-391996.05145000003</v>
      </c>
      <c r="D4" s="11">
        <f t="shared" si="0"/>
        <v>-355646.96030999999</v>
      </c>
      <c r="E4" s="11">
        <f t="shared" ref="E4" si="1">D45</f>
        <v>-398703.43591</v>
      </c>
      <c r="F4" s="11">
        <f t="shared" ref="F4" si="2">E45</f>
        <v>-417893.73288999998</v>
      </c>
      <c r="G4" s="27">
        <f t="shared" ref="G4" si="3">F45</f>
        <v>-448153.78776999994</v>
      </c>
      <c r="H4" s="11">
        <f t="shared" ref="H4" si="4">G45</f>
        <v>-462111.14934999996</v>
      </c>
      <c r="I4" s="11">
        <f t="shared" ref="I4" si="5">H45</f>
        <v>-487836.05726999999</v>
      </c>
      <c r="J4" s="11">
        <f t="shared" ref="J4" si="6">I45</f>
        <v>-493747.65850999998</v>
      </c>
      <c r="K4" s="11">
        <f t="shared" ref="K4" si="7">J45</f>
        <v>-621434.48904999997</v>
      </c>
      <c r="L4" s="11">
        <f t="shared" ref="L4" si="8">K45</f>
        <v>-884939.89700999996</v>
      </c>
      <c r="M4" s="11">
        <f t="shared" ref="M4" si="9">L45</f>
        <v>-847336.48506999994</v>
      </c>
      <c r="N4" s="11">
        <f>B4</f>
        <v>-405916.89</v>
      </c>
    </row>
    <row r="5" spans="1:18" ht="21" customHeight="1" thickBot="1" x14ac:dyDescent="0.3">
      <c r="A5" s="5" t="s">
        <v>13</v>
      </c>
      <c r="B5" s="11">
        <v>-849578.53</v>
      </c>
      <c r="C5" s="11">
        <f t="shared" ref="C5:M5" si="10">B46</f>
        <v>-870067.7</v>
      </c>
      <c r="D5" s="11">
        <f t="shared" si="10"/>
        <v>-865429.95</v>
      </c>
      <c r="E5" s="11">
        <f t="shared" si="10"/>
        <v>-890547.58999999985</v>
      </c>
      <c r="F5" s="11">
        <f t="shared" si="10"/>
        <v>-876712.16999999981</v>
      </c>
      <c r="G5" s="27">
        <f t="shared" si="10"/>
        <v>-897822.30999999982</v>
      </c>
      <c r="H5" s="11">
        <f t="shared" si="10"/>
        <v>-921461.55999999982</v>
      </c>
      <c r="I5" s="11">
        <f t="shared" si="10"/>
        <v>-937222.57999999973</v>
      </c>
      <c r="J5" s="11">
        <f t="shared" si="10"/>
        <v>-939121.01999999979</v>
      </c>
      <c r="K5" s="11">
        <f t="shared" si="10"/>
        <v>-981727.7899999998</v>
      </c>
      <c r="L5" s="11">
        <f t="shared" si="10"/>
        <v>-1021456.8299999997</v>
      </c>
      <c r="M5" s="11">
        <f t="shared" si="10"/>
        <v>-1030206.8399999996</v>
      </c>
      <c r="N5" s="11">
        <f>B5</f>
        <v>-849578.53</v>
      </c>
    </row>
    <row r="6" spans="1:18" ht="20.25" customHeight="1" thickBot="1" x14ac:dyDescent="0.3">
      <c r="A6" s="6" t="s">
        <v>12</v>
      </c>
      <c r="B6" s="12">
        <f>SUM(B7:B14)</f>
        <v>243693.74000000002</v>
      </c>
      <c r="C6" s="12">
        <f>SUM(C7:C14)</f>
        <v>243906.14</v>
      </c>
      <c r="D6" s="12">
        <f>SUM(D7:D14)</f>
        <v>256045.68999999997</v>
      </c>
      <c r="E6" s="12">
        <f t="shared" ref="E6:M6" si="11">SUM(E7:E14)</f>
        <v>229234.73</v>
      </c>
      <c r="F6" s="12">
        <f t="shared" si="11"/>
        <v>229834.73</v>
      </c>
      <c r="G6" s="12">
        <f t="shared" si="11"/>
        <v>229834.73</v>
      </c>
      <c r="H6" s="12">
        <f t="shared" si="11"/>
        <v>231310.35</v>
      </c>
      <c r="I6" s="12">
        <f t="shared" si="11"/>
        <v>240657.4</v>
      </c>
      <c r="J6" s="12">
        <f t="shared" si="11"/>
        <v>272913.21000000002</v>
      </c>
      <c r="K6" s="12">
        <f t="shared" si="11"/>
        <v>310266.33999999997</v>
      </c>
      <c r="L6" s="12">
        <f t="shared" si="11"/>
        <v>310918.62999999995</v>
      </c>
      <c r="M6" s="12">
        <f t="shared" si="11"/>
        <v>313114.62999999995</v>
      </c>
      <c r="N6" s="12">
        <f>SUM(B6:M6)</f>
        <v>3111730.32</v>
      </c>
    </row>
    <row r="7" spans="1:18" ht="21.75" customHeight="1" thickBot="1" x14ac:dyDescent="0.3">
      <c r="A7" s="10" t="s">
        <v>29</v>
      </c>
      <c r="B7" s="23">
        <v>204750</v>
      </c>
      <c r="C7" s="23">
        <v>204750</v>
      </c>
      <c r="D7" s="23">
        <v>204750</v>
      </c>
      <c r="E7" s="23">
        <v>204750</v>
      </c>
      <c r="F7" s="23">
        <v>204750</v>
      </c>
      <c r="G7" s="24">
        <v>204750</v>
      </c>
      <c r="H7" s="23">
        <v>204750</v>
      </c>
      <c r="I7" s="23">
        <v>204750</v>
      </c>
      <c r="J7" s="23">
        <v>243980.17</v>
      </c>
      <c r="K7" s="13">
        <v>243980.17</v>
      </c>
      <c r="L7" s="13">
        <v>243980.17</v>
      </c>
      <c r="M7" s="13">
        <v>243980.17</v>
      </c>
      <c r="N7" s="13">
        <f>SUM(B7:M7)</f>
        <v>2613920.6799999997</v>
      </c>
    </row>
    <row r="8" spans="1:18" ht="21" customHeight="1" thickBot="1" x14ac:dyDescent="0.3">
      <c r="A8" s="10" t="s">
        <v>30</v>
      </c>
      <c r="B8" s="23">
        <v>1637.5</v>
      </c>
      <c r="C8" s="23">
        <v>1637.5</v>
      </c>
      <c r="D8" s="23">
        <v>1637.5</v>
      </c>
      <c r="E8" s="23">
        <v>1637.5</v>
      </c>
      <c r="F8" s="23">
        <v>1637.5</v>
      </c>
      <c r="G8" s="23">
        <v>1637.5</v>
      </c>
      <c r="H8" s="23">
        <v>1637.5</v>
      </c>
      <c r="I8" s="23">
        <v>1637.5</v>
      </c>
      <c r="J8" s="23">
        <v>1951.25</v>
      </c>
      <c r="K8" s="13">
        <v>1951.25</v>
      </c>
      <c r="L8" s="13">
        <v>1951.25</v>
      </c>
      <c r="M8" s="13">
        <v>1951.25</v>
      </c>
      <c r="N8" s="23">
        <f t="shared" ref="N8:N14" si="12">SUM(B8:M8)</f>
        <v>20905</v>
      </c>
    </row>
    <row r="9" spans="1:18" ht="23.25" customHeight="1" thickBot="1" x14ac:dyDescent="0.3">
      <c r="A9" s="10" t="s">
        <v>15</v>
      </c>
      <c r="B9" s="23">
        <f>3153.52+25.55</f>
        <v>3179.07</v>
      </c>
      <c r="C9" s="23">
        <f>874.33+7.21</f>
        <v>881.54000000000008</v>
      </c>
      <c r="D9" s="23">
        <v>-3217.31</v>
      </c>
      <c r="E9" s="23">
        <v>0</v>
      </c>
      <c r="F9" s="23">
        <v>0</v>
      </c>
      <c r="G9" s="24">
        <v>0</v>
      </c>
      <c r="H9" s="23">
        <v>0</v>
      </c>
      <c r="I9" s="23">
        <v>0</v>
      </c>
      <c r="J9" s="23">
        <v>0</v>
      </c>
      <c r="K9" s="13">
        <v>0</v>
      </c>
      <c r="L9" s="13">
        <f>38594.77+308.51</f>
        <v>38903.279999999999</v>
      </c>
      <c r="M9" s="13">
        <f>26889.42+214.84</f>
        <v>27104.26</v>
      </c>
      <c r="N9" s="23">
        <f t="shared" si="12"/>
        <v>66850.84</v>
      </c>
    </row>
    <row r="10" spans="1:18" ht="21" customHeight="1" thickBot="1" x14ac:dyDescent="0.3">
      <c r="A10" s="10" t="s">
        <v>16</v>
      </c>
      <c r="B10" s="23">
        <f>704.61+5.9</f>
        <v>710.51</v>
      </c>
      <c r="C10" s="23">
        <f>704.61+5.9</f>
        <v>710.51</v>
      </c>
      <c r="D10" s="23">
        <f>7327.19+5.9</f>
        <v>7333.0899999999992</v>
      </c>
      <c r="E10" s="23">
        <f>704.61+5.9</f>
        <v>710.51</v>
      </c>
      <c r="F10" s="23">
        <f>704.61+5.9</f>
        <v>710.51</v>
      </c>
      <c r="G10" s="24">
        <f>704.61+5.9</f>
        <v>710.51</v>
      </c>
      <c r="H10" s="23">
        <f t="shared" ref="H10:M10" si="13">915.7+7.21</f>
        <v>922.91000000000008</v>
      </c>
      <c r="I10" s="23">
        <f t="shared" si="13"/>
        <v>922.91000000000008</v>
      </c>
      <c r="J10" s="23">
        <f t="shared" si="13"/>
        <v>922.91000000000008</v>
      </c>
      <c r="K10" s="13">
        <f t="shared" si="13"/>
        <v>922.91000000000008</v>
      </c>
      <c r="L10" s="13">
        <f t="shared" si="13"/>
        <v>922.91000000000008</v>
      </c>
      <c r="M10" s="13">
        <f t="shared" si="13"/>
        <v>922.91000000000008</v>
      </c>
      <c r="N10" s="23">
        <f t="shared" si="12"/>
        <v>16423.099999999999</v>
      </c>
    </row>
    <row r="11" spans="1:18" ht="18.75" customHeight="1" thickBot="1" x14ac:dyDescent="0.3">
      <c r="A11" s="10" t="s">
        <v>17</v>
      </c>
      <c r="B11" s="23">
        <f>11190.2+89.74</f>
        <v>11279.94</v>
      </c>
      <c r="C11" s="23">
        <f>12592.35+100.87+1096.65</f>
        <v>13789.87</v>
      </c>
      <c r="D11" s="23">
        <f>15342.72+122.49+824.65</f>
        <v>16289.859999999999</v>
      </c>
      <c r="E11" s="23">
        <v>0</v>
      </c>
      <c r="F11" s="23">
        <v>0</v>
      </c>
      <c r="G11" s="24">
        <v>0</v>
      </c>
      <c r="H11" s="23">
        <f>211.25+1.97</f>
        <v>213.22</v>
      </c>
      <c r="I11" s="23">
        <f>7326.17+58.3+601.5</f>
        <v>7985.97</v>
      </c>
      <c r="J11" s="23">
        <f>131.55+1.31+565</f>
        <v>697.86</v>
      </c>
      <c r="K11" s="13">
        <f>36266.72+290.17+1694.1</f>
        <v>38250.99</v>
      </c>
      <c r="L11" s="13">
        <v>0</v>
      </c>
      <c r="M11" s="13">
        <f>12648.85+100.87+1245.3</f>
        <v>13995.02</v>
      </c>
      <c r="N11" s="23">
        <f t="shared" si="12"/>
        <v>102502.73</v>
      </c>
    </row>
    <row r="12" spans="1:18" ht="18.75" customHeight="1" thickBot="1" x14ac:dyDescent="0.3">
      <c r="A12" s="10" t="s">
        <v>28</v>
      </c>
      <c r="B12" s="23">
        <f>710.77+5.9</f>
        <v>716.67</v>
      </c>
      <c r="C12" s="23">
        <f>710.77+5.9</f>
        <v>716.67</v>
      </c>
      <c r="D12" s="23">
        <f>7226.6+5.9</f>
        <v>7232.5</v>
      </c>
      <c r="E12" s="23">
        <f>710.77+5.9</f>
        <v>716.67</v>
      </c>
      <c r="F12" s="23">
        <f>710.77+5.9</f>
        <v>716.67</v>
      </c>
      <c r="G12" s="24">
        <f>710.77+5.9</f>
        <v>716.67</v>
      </c>
      <c r="H12" s="23">
        <f>710.77+5.9</f>
        <v>716.67</v>
      </c>
      <c r="I12" s="23">
        <f>784.42+6.55</f>
        <v>790.96999999999991</v>
      </c>
      <c r="J12" s="23">
        <f>784.42+6.55</f>
        <v>790.96999999999991</v>
      </c>
      <c r="K12" s="13">
        <f>784.42+6.55</f>
        <v>790.96999999999991</v>
      </c>
      <c r="L12" s="13">
        <f>784.42+6.55</f>
        <v>790.96999999999991</v>
      </c>
      <c r="M12" s="13">
        <f>784.42+6.55</f>
        <v>790.96999999999991</v>
      </c>
      <c r="N12" s="23">
        <f t="shared" si="12"/>
        <v>15487.369999999997</v>
      </c>
    </row>
    <row r="13" spans="1:18" ht="18.75" customHeight="1" thickBot="1" x14ac:dyDescent="0.3">
      <c r="A13" s="10" t="s">
        <v>33</v>
      </c>
      <c r="B13" s="23">
        <v>20070.05</v>
      </c>
      <c r="C13" s="23">
        <v>20070.05</v>
      </c>
      <c r="D13" s="23">
        <v>20070.05</v>
      </c>
      <c r="E13" s="23">
        <v>20070.05</v>
      </c>
      <c r="F13" s="23">
        <v>20070.05</v>
      </c>
      <c r="G13" s="24">
        <v>20070.05</v>
      </c>
      <c r="H13" s="23">
        <v>20070.05</v>
      </c>
      <c r="I13" s="23">
        <v>20070.05</v>
      </c>
      <c r="J13" s="23">
        <v>20070.05</v>
      </c>
      <c r="K13" s="13">
        <v>20070.05</v>
      </c>
      <c r="L13" s="13">
        <v>20070.05</v>
      </c>
      <c r="M13" s="13">
        <v>20070.05</v>
      </c>
      <c r="N13" s="23">
        <f t="shared" si="12"/>
        <v>240840.59999999995</v>
      </c>
    </row>
    <row r="14" spans="1:18" ht="22.5" customHeight="1" thickBot="1" x14ac:dyDescent="0.3">
      <c r="A14" s="10" t="s">
        <v>24</v>
      </c>
      <c r="B14" s="13">
        <v>1350</v>
      </c>
      <c r="C14" s="23">
        <v>1350</v>
      </c>
      <c r="D14" s="23">
        <v>1950</v>
      </c>
      <c r="E14" s="23">
        <v>1350</v>
      </c>
      <c r="F14" s="23">
        <v>1950</v>
      </c>
      <c r="G14" s="23">
        <v>1950</v>
      </c>
      <c r="H14" s="23">
        <v>3000</v>
      </c>
      <c r="I14" s="23">
        <v>4500</v>
      </c>
      <c r="J14" s="23">
        <v>4500</v>
      </c>
      <c r="K14" s="23">
        <v>4300</v>
      </c>
      <c r="L14" s="23">
        <v>4300</v>
      </c>
      <c r="M14" s="23">
        <v>4300</v>
      </c>
      <c r="N14" s="23">
        <f t="shared" si="12"/>
        <v>34800</v>
      </c>
    </row>
    <row r="15" spans="1:18" ht="20.25" customHeight="1" thickBot="1" x14ac:dyDescent="0.3">
      <c r="A15" s="8" t="s">
        <v>8</v>
      </c>
      <c r="B15" s="14">
        <f t="shared" ref="B15:J15" si="14">SUM(B16:B23)</f>
        <v>223204.57000000004</v>
      </c>
      <c r="C15" s="14">
        <f t="shared" si="14"/>
        <v>248543.89</v>
      </c>
      <c r="D15" s="14">
        <f t="shared" si="14"/>
        <v>230928.05</v>
      </c>
      <c r="E15" s="14">
        <f t="shared" si="14"/>
        <v>243070.15000000002</v>
      </c>
      <c r="F15" s="14">
        <f t="shared" si="14"/>
        <v>208724.59000000003</v>
      </c>
      <c r="G15" s="14">
        <f t="shared" si="14"/>
        <v>206195.47999999998</v>
      </c>
      <c r="H15" s="14">
        <f t="shared" si="14"/>
        <v>215549.33000000002</v>
      </c>
      <c r="I15" s="14">
        <f t="shared" si="14"/>
        <v>238758.95999999996</v>
      </c>
      <c r="J15" s="14">
        <f t="shared" si="14"/>
        <v>230306.43999999997</v>
      </c>
      <c r="K15" s="14">
        <f t="shared" ref="K15:M15" si="15">SUM(K16:K23)</f>
        <v>270537.3</v>
      </c>
      <c r="L15" s="14">
        <f t="shared" si="15"/>
        <v>302168.62000000005</v>
      </c>
      <c r="M15" s="14">
        <f t="shared" si="15"/>
        <v>299535.19</v>
      </c>
      <c r="N15" s="14">
        <f>SUM(B15:M15)</f>
        <v>2917522.57</v>
      </c>
    </row>
    <row r="16" spans="1:18" ht="21" customHeight="1" thickBot="1" x14ac:dyDescent="0.3">
      <c r="A16" s="10" t="s">
        <v>31</v>
      </c>
      <c r="B16" s="13">
        <v>184907.46</v>
      </c>
      <c r="C16" s="13">
        <v>206996.73</v>
      </c>
      <c r="D16" s="13">
        <v>195426.55</v>
      </c>
      <c r="E16" s="13">
        <v>194424.5</v>
      </c>
      <c r="F16" s="13">
        <v>185322.06</v>
      </c>
      <c r="G16" s="24">
        <v>184310.11</v>
      </c>
      <c r="H16" s="13">
        <v>191957.25</v>
      </c>
      <c r="I16" s="13">
        <f>208353.84+1.49+7.53</f>
        <v>208362.86</v>
      </c>
      <c r="J16" s="13">
        <f>196081.8+3.12+15.77</f>
        <v>196100.68999999997</v>
      </c>
      <c r="K16" s="13">
        <f>242320.11+5.18+26.17</f>
        <v>242351.46</v>
      </c>
      <c r="L16" s="13">
        <f>240118.64+6.17+31.2</f>
        <v>240156.01000000004</v>
      </c>
      <c r="M16" s="13">
        <f>238901.18+11.41+57.68</f>
        <v>238970.27</v>
      </c>
      <c r="N16" s="13">
        <f>SUM(B16:M16)</f>
        <v>2469285.9500000002</v>
      </c>
    </row>
    <row r="17" spans="1:17" ht="21" customHeight="1" thickBot="1" x14ac:dyDescent="0.3">
      <c r="A17" s="10" t="s">
        <v>32</v>
      </c>
      <c r="B17" s="23">
        <v>1637.5</v>
      </c>
      <c r="C17" s="23">
        <v>1637.5</v>
      </c>
      <c r="D17" s="23">
        <v>1637.5</v>
      </c>
      <c r="E17" s="23">
        <v>1637.5</v>
      </c>
      <c r="F17" s="23">
        <v>1637.5</v>
      </c>
      <c r="G17" s="23">
        <v>1637.5</v>
      </c>
      <c r="H17" s="23">
        <v>1637.5</v>
      </c>
      <c r="I17" s="23">
        <v>1637.5</v>
      </c>
      <c r="J17" s="23">
        <v>1637.5</v>
      </c>
      <c r="K17" s="13">
        <v>1951.25</v>
      </c>
      <c r="L17" s="13">
        <v>1951.25</v>
      </c>
      <c r="M17" s="13">
        <v>1951.25</v>
      </c>
      <c r="N17" s="13">
        <f t="shared" ref="N17:N22" si="16">SUM(B17:M17)</f>
        <v>20591.25</v>
      </c>
    </row>
    <row r="18" spans="1:17" ht="18.75" customHeight="1" thickBot="1" x14ac:dyDescent="0.3">
      <c r="A18" s="10" t="s">
        <v>15</v>
      </c>
      <c r="B18" s="23">
        <v>1.2</v>
      </c>
      <c r="C18" s="23">
        <f>2809.19+25.55</f>
        <v>2834.7400000000002</v>
      </c>
      <c r="D18" s="23">
        <f>806.79+7.21</f>
        <v>814</v>
      </c>
      <c r="E18" s="23">
        <v>6.25</v>
      </c>
      <c r="F18" s="23">
        <v>0.95</v>
      </c>
      <c r="G18" s="24">
        <v>0</v>
      </c>
      <c r="H18" s="23">
        <v>1.68</v>
      </c>
      <c r="I18" s="23">
        <v>35.58</v>
      </c>
      <c r="J18" s="23">
        <v>60.74</v>
      </c>
      <c r="K18" s="13">
        <v>89.45</v>
      </c>
      <c r="L18" s="13">
        <v>104.82</v>
      </c>
      <c r="M18" s="13">
        <f>31826.25+308.51</f>
        <v>32134.76</v>
      </c>
      <c r="N18" s="13">
        <f t="shared" si="16"/>
        <v>36084.17</v>
      </c>
    </row>
    <row r="19" spans="1:17" ht="21.75" customHeight="1" thickBot="1" x14ac:dyDescent="0.3">
      <c r="A19" s="10" t="s">
        <v>16</v>
      </c>
      <c r="B19" s="23">
        <f>1620.85+14.41</f>
        <v>1635.26</v>
      </c>
      <c r="C19" s="23">
        <f>791.35+5.9</f>
        <v>797.25</v>
      </c>
      <c r="D19" s="23">
        <f>1151.61+5.9</f>
        <v>1157.51</v>
      </c>
      <c r="E19" s="23">
        <f>6215.82+5.9</f>
        <v>6221.7199999999993</v>
      </c>
      <c r="F19" s="23">
        <f>774.07+5.9</f>
        <v>779.97</v>
      </c>
      <c r="G19" s="24">
        <f>649.65+5.9</f>
        <v>655.55</v>
      </c>
      <c r="H19" s="23">
        <f>667.4+5.9</f>
        <v>673.3</v>
      </c>
      <c r="I19" s="23">
        <f>927.29+7.21</f>
        <v>934.5</v>
      </c>
      <c r="J19" s="23">
        <f>872.03+7.21</f>
        <v>879.24</v>
      </c>
      <c r="K19" s="13">
        <f>930.84+7.21</f>
        <v>938.05000000000007</v>
      </c>
      <c r="L19" s="13">
        <f>916.03+7.21</f>
        <v>923.24</v>
      </c>
      <c r="M19" s="13">
        <f>902.63+7.21</f>
        <v>909.84</v>
      </c>
      <c r="N19" s="13">
        <f t="shared" si="16"/>
        <v>16505.429999999997</v>
      </c>
    </row>
    <row r="20" spans="1:17" ht="19.5" customHeight="1" thickBot="1" x14ac:dyDescent="0.3">
      <c r="A20" s="10" t="s">
        <v>17</v>
      </c>
      <c r="B20" s="15">
        <f>15123.62+137.55</f>
        <v>15261.17</v>
      </c>
      <c r="C20" s="15">
        <f>11365.67+89.74</f>
        <v>11455.41</v>
      </c>
      <c r="D20" s="15">
        <f>11750.37+100.87</f>
        <v>11851.240000000002</v>
      </c>
      <c r="E20" s="15">
        <f>14987.35+122.49</f>
        <v>15109.84</v>
      </c>
      <c r="F20" s="15">
        <v>565.95000000000005</v>
      </c>
      <c r="G20" s="30">
        <v>71.489999999999995</v>
      </c>
      <c r="H20" s="16">
        <v>162.19999999999999</v>
      </c>
      <c r="I20" s="17">
        <f>775.56+1.97</f>
        <v>777.53</v>
      </c>
      <c r="J20" s="17">
        <f>6707.64+58.3</f>
        <v>6765.9400000000005</v>
      </c>
      <c r="K20" s="13">
        <f>1096.84+1.31</f>
        <v>1098.1499999999999</v>
      </c>
      <c r="L20" s="13">
        <f>32616.02+290.17+1694.1</f>
        <v>34600.29</v>
      </c>
      <c r="M20" s="13">
        <v>1479.31</v>
      </c>
      <c r="N20" s="13">
        <f t="shared" si="16"/>
        <v>99198.51999999999</v>
      </c>
    </row>
    <row r="21" spans="1:17" ht="19.5" customHeight="1" thickBot="1" x14ac:dyDescent="0.3">
      <c r="A21" s="10" t="s">
        <v>28</v>
      </c>
      <c r="B21" s="16">
        <f>1641.97+14.41</f>
        <v>1656.38</v>
      </c>
      <c r="C21" s="17">
        <f>855.22+5.9</f>
        <v>861.12</v>
      </c>
      <c r="D21" s="17">
        <f>1161.15+5.9</f>
        <v>1167.0500000000002</v>
      </c>
      <c r="E21" s="17">
        <f>6132.05+5.9</f>
        <v>6137.95</v>
      </c>
      <c r="F21" s="17">
        <f>777.81+5.9</f>
        <v>783.70999999999992</v>
      </c>
      <c r="G21" s="31">
        <f>655.02+5.9</f>
        <v>660.92</v>
      </c>
      <c r="H21" s="23">
        <f>682.86+5.9</f>
        <v>688.76</v>
      </c>
      <c r="I21" s="23">
        <f>769.76+5.9</f>
        <v>775.66</v>
      </c>
      <c r="J21" s="23">
        <f>783.62+6.55</f>
        <v>790.17</v>
      </c>
      <c r="K21" s="13">
        <f>832.75+6.55</f>
        <v>839.3</v>
      </c>
      <c r="L21" s="13">
        <f>823.89+6.55</f>
        <v>830.43999999999994</v>
      </c>
      <c r="M21" s="13">
        <f>780.23+6.55</f>
        <v>786.78</v>
      </c>
      <c r="N21" s="13">
        <f t="shared" si="16"/>
        <v>15978.24</v>
      </c>
    </row>
    <row r="22" spans="1:17" ht="19.5" customHeight="1" thickBot="1" x14ac:dyDescent="0.3">
      <c r="A22" s="10" t="s">
        <v>33</v>
      </c>
      <c r="B22" s="16">
        <v>17255.599999999999</v>
      </c>
      <c r="C22" s="16">
        <v>22211.14</v>
      </c>
      <c r="D22" s="16">
        <v>18024.2</v>
      </c>
      <c r="E22" s="16">
        <v>18682.39</v>
      </c>
      <c r="F22" s="16">
        <v>17884.45</v>
      </c>
      <c r="G22" s="32">
        <v>18009.91</v>
      </c>
      <c r="H22" s="23">
        <v>17928.64</v>
      </c>
      <c r="I22" s="23">
        <v>19735.330000000002</v>
      </c>
      <c r="J22" s="23">
        <v>20072.16</v>
      </c>
      <c r="K22" s="13">
        <v>19269.64</v>
      </c>
      <c r="L22" s="13">
        <v>18702.57</v>
      </c>
      <c r="M22" s="13">
        <v>19302.98</v>
      </c>
      <c r="N22" s="13">
        <f t="shared" si="16"/>
        <v>227079.01000000004</v>
      </c>
    </row>
    <row r="23" spans="1:17" ht="18.75" customHeight="1" thickBot="1" x14ac:dyDescent="0.3">
      <c r="A23" s="10" t="s">
        <v>24</v>
      </c>
      <c r="B23" s="16">
        <v>850</v>
      </c>
      <c r="C23" s="16">
        <v>1750</v>
      </c>
      <c r="D23" s="16">
        <v>850</v>
      </c>
      <c r="E23" s="16">
        <v>850</v>
      </c>
      <c r="F23" s="16">
        <v>1750</v>
      </c>
      <c r="G23" s="32">
        <v>850</v>
      </c>
      <c r="H23" s="13">
        <v>2500</v>
      </c>
      <c r="I23" s="13">
        <v>6500</v>
      </c>
      <c r="J23" s="13">
        <v>4000</v>
      </c>
      <c r="K23" s="23">
        <v>4000</v>
      </c>
      <c r="L23" s="13">
        <v>4900</v>
      </c>
      <c r="M23" s="13">
        <v>4000</v>
      </c>
      <c r="N23" s="13">
        <f>SUM(B23:M23)</f>
        <v>32800</v>
      </c>
    </row>
    <row r="24" spans="1:17" ht="21.75" customHeight="1" thickBot="1" x14ac:dyDescent="0.3">
      <c r="A24" s="9" t="s">
        <v>22</v>
      </c>
      <c r="B24" s="18"/>
      <c r="C24" s="18"/>
      <c r="D24" s="18"/>
      <c r="E24" s="18"/>
      <c r="F24" s="18"/>
      <c r="G24" s="33"/>
      <c r="H24" s="18"/>
      <c r="I24" s="18"/>
      <c r="J24" s="18"/>
      <c r="K24" s="18"/>
      <c r="L24" s="18"/>
      <c r="M24" s="18"/>
      <c r="N24" s="19"/>
    </row>
    <row r="25" spans="1:17" ht="19.5" customHeight="1" thickBot="1" x14ac:dyDescent="0.3">
      <c r="A25" s="10" t="s">
        <v>1</v>
      </c>
      <c r="B25" s="23">
        <f>8255.5*0.6</f>
        <v>4953.3</v>
      </c>
      <c r="C25" s="23">
        <f t="shared" ref="C25:M25" si="17">8255.5*0.6</f>
        <v>4953.3</v>
      </c>
      <c r="D25" s="23">
        <f t="shared" si="17"/>
        <v>4953.3</v>
      </c>
      <c r="E25" s="23">
        <f t="shared" si="17"/>
        <v>4953.3</v>
      </c>
      <c r="F25" s="23">
        <f t="shared" si="17"/>
        <v>4953.3</v>
      </c>
      <c r="G25" s="23">
        <f t="shared" si="17"/>
        <v>4953.3</v>
      </c>
      <c r="H25" s="23">
        <f t="shared" si="17"/>
        <v>4953.3</v>
      </c>
      <c r="I25" s="23">
        <f t="shared" si="17"/>
        <v>4953.3</v>
      </c>
      <c r="J25" s="23">
        <f t="shared" si="17"/>
        <v>4953.3</v>
      </c>
      <c r="K25" s="23">
        <f t="shared" si="17"/>
        <v>4953.3</v>
      </c>
      <c r="L25" s="23">
        <f t="shared" si="17"/>
        <v>4953.3</v>
      </c>
      <c r="M25" s="23">
        <f t="shared" si="17"/>
        <v>4953.3</v>
      </c>
      <c r="N25" s="13">
        <f>SUM(B25:M25)</f>
        <v>59439.600000000013</v>
      </c>
      <c r="O25" s="25"/>
    </row>
    <row r="26" spans="1:17" ht="22.5" customHeight="1" thickBot="1" x14ac:dyDescent="0.3">
      <c r="A26" s="10" t="s">
        <v>2</v>
      </c>
      <c r="B26" s="23">
        <f>8255.5*0.17</f>
        <v>1403.4350000000002</v>
      </c>
      <c r="C26" s="23">
        <f>8255.5*0.2</f>
        <v>1651.1000000000001</v>
      </c>
      <c r="D26" s="23">
        <f>8255.5*0.2</f>
        <v>1651.1000000000001</v>
      </c>
      <c r="E26" s="23">
        <f t="shared" ref="E26:M26" si="18">8255.5*0.2</f>
        <v>1651.1000000000001</v>
      </c>
      <c r="F26" s="23">
        <f t="shared" si="18"/>
        <v>1651.1000000000001</v>
      </c>
      <c r="G26" s="23">
        <f t="shared" si="18"/>
        <v>1651.1000000000001</v>
      </c>
      <c r="H26" s="23">
        <f t="shared" si="18"/>
        <v>1651.1000000000001</v>
      </c>
      <c r="I26" s="23">
        <f t="shared" si="18"/>
        <v>1651.1000000000001</v>
      </c>
      <c r="J26" s="23">
        <f t="shared" si="18"/>
        <v>1651.1000000000001</v>
      </c>
      <c r="K26" s="23">
        <f t="shared" si="18"/>
        <v>1651.1000000000001</v>
      </c>
      <c r="L26" s="23">
        <f t="shared" si="18"/>
        <v>1651.1000000000001</v>
      </c>
      <c r="M26" s="23">
        <f t="shared" si="18"/>
        <v>1651.1000000000001</v>
      </c>
      <c r="N26" s="23">
        <f t="shared" ref="N26:N42" si="19">SUM(B26:M26)</f>
        <v>19565.535</v>
      </c>
      <c r="O26" s="25"/>
    </row>
    <row r="27" spans="1:17" ht="21" customHeight="1" thickBot="1" x14ac:dyDescent="0.3">
      <c r="A27" s="10" t="s">
        <v>3</v>
      </c>
      <c r="B27" s="23">
        <f>240579.15*2.3%</f>
        <v>5533.3204500000002</v>
      </c>
      <c r="C27" s="13">
        <f>239702.11*2.6%</f>
        <v>6232.25486</v>
      </c>
      <c r="D27" s="23">
        <f>251499.25*2.6%</f>
        <v>6538.9805000000006</v>
      </c>
      <c r="E27" s="13">
        <f>226235.43*2.6%</f>
        <v>5882.1211800000001</v>
      </c>
      <c r="F27" s="13">
        <f>226235.43*2.6%</f>
        <v>5882.1211800000001</v>
      </c>
      <c r="G27" s="24">
        <f>226235.43*2.6%</f>
        <v>5882.1211800000001</v>
      </c>
      <c r="H27" s="13">
        <f>226657.77*2.6%</f>
        <v>5893.1020200000003</v>
      </c>
      <c r="I27" s="13">
        <f>233846.34*2.6%</f>
        <v>6080.0048400000005</v>
      </c>
      <c r="J27" s="13">
        <f>265881.89*2.6%</f>
        <v>6912.9291400000011</v>
      </c>
      <c r="K27" s="13">
        <f>302017.06*2.6%</f>
        <v>7852.4435600000006</v>
      </c>
      <c r="L27" s="13">
        <f>304345.11*2.6%</f>
        <v>7912.9728600000008</v>
      </c>
      <c r="M27" s="13">
        <f>305288.61*2.6%</f>
        <v>7937.5038600000007</v>
      </c>
      <c r="N27" s="23">
        <f t="shared" si="19"/>
        <v>78539.875629999995</v>
      </c>
      <c r="Q27" s="20"/>
    </row>
    <row r="28" spans="1:17" ht="23.25" customHeight="1" thickBot="1" x14ac:dyDescent="0.3">
      <c r="A28" s="10" t="s">
        <v>4</v>
      </c>
      <c r="B28" s="23">
        <f>220550.7*3%</f>
        <v>6616.5209999999997</v>
      </c>
      <c r="C28" s="13">
        <f>245029.3*3%</f>
        <v>7350.878999999999</v>
      </c>
      <c r="D28" s="13">
        <f>228320.67*3%</f>
        <v>6849.6201000000001</v>
      </c>
      <c r="E28" s="13">
        <f>240448.36*3%</f>
        <v>7213.4507999999996</v>
      </c>
      <c r="F28" s="13">
        <f>205325.29*3%</f>
        <v>6159.7587000000003</v>
      </c>
      <c r="G28" s="24">
        <f>203696.18*3%</f>
        <v>6110.8853999999992</v>
      </c>
      <c r="H28" s="13">
        <f>211400.03*3%</f>
        <v>6342.0009</v>
      </c>
      <c r="I28" s="13">
        <f>230606.38*3%</f>
        <v>6918.1913999999997</v>
      </c>
      <c r="J28" s="13">
        <f>224596.88*3%</f>
        <v>6737.9063999999998</v>
      </c>
      <c r="K28" s="13">
        <f>264570.98*3%</f>
        <v>7937.1293999999989</v>
      </c>
      <c r="L28" s="13">
        <f>293319.34*3%</f>
        <v>8799.5802000000003</v>
      </c>
      <c r="M28" s="13">
        <f>293261.67*3%</f>
        <v>8797.8500999999997</v>
      </c>
      <c r="N28" s="23">
        <f t="shared" si="19"/>
        <v>85833.773399999991</v>
      </c>
    </row>
    <row r="29" spans="1:17" ht="23.25" customHeight="1" thickBot="1" x14ac:dyDescent="0.3">
      <c r="A29" s="10" t="s">
        <v>9</v>
      </c>
      <c r="B29" s="24">
        <f>8255.5*10.8</f>
        <v>89159.400000000009</v>
      </c>
      <c r="C29" s="24">
        <f t="shared" ref="C29:M29" si="20">8255.5*10.8</f>
        <v>89159.400000000009</v>
      </c>
      <c r="D29" s="24">
        <f t="shared" si="20"/>
        <v>89159.400000000009</v>
      </c>
      <c r="E29" s="24">
        <f t="shared" si="20"/>
        <v>89159.400000000009</v>
      </c>
      <c r="F29" s="24">
        <f t="shared" si="20"/>
        <v>89159.400000000009</v>
      </c>
      <c r="G29" s="24">
        <f>8255.5*10.8</f>
        <v>89159.400000000009</v>
      </c>
      <c r="H29" s="24">
        <f t="shared" si="20"/>
        <v>89159.400000000009</v>
      </c>
      <c r="I29" s="24">
        <f t="shared" si="20"/>
        <v>89159.400000000009</v>
      </c>
      <c r="J29" s="24">
        <f t="shared" si="20"/>
        <v>89159.400000000009</v>
      </c>
      <c r="K29" s="24">
        <f t="shared" si="20"/>
        <v>89159.400000000009</v>
      </c>
      <c r="L29" s="24">
        <f t="shared" si="20"/>
        <v>89159.400000000009</v>
      </c>
      <c r="M29" s="24">
        <f t="shared" si="20"/>
        <v>89159.400000000009</v>
      </c>
      <c r="N29" s="23">
        <f t="shared" si="19"/>
        <v>1069912.8</v>
      </c>
    </row>
    <row r="30" spans="1:17" ht="18.600000000000001" customHeight="1" thickBot="1" x14ac:dyDescent="0.3">
      <c r="A30" s="10" t="s">
        <v>18</v>
      </c>
      <c r="B30" s="24">
        <f>794.77+86.5</f>
        <v>881.27</v>
      </c>
      <c r="C30" s="23">
        <f>0+0</f>
        <v>0</v>
      </c>
      <c r="D30" s="23">
        <f>0+0</f>
        <v>0</v>
      </c>
      <c r="E30" s="23">
        <f t="shared" ref="E30:J30" si="21">0+0</f>
        <v>0</v>
      </c>
      <c r="F30" s="23">
        <f t="shared" si="21"/>
        <v>0</v>
      </c>
      <c r="G30" s="23">
        <f t="shared" si="21"/>
        <v>0</v>
      </c>
      <c r="H30" s="23">
        <f t="shared" si="21"/>
        <v>0</v>
      </c>
      <c r="I30" s="23">
        <f t="shared" si="21"/>
        <v>0</v>
      </c>
      <c r="J30" s="23">
        <f t="shared" si="21"/>
        <v>0</v>
      </c>
      <c r="K30" s="23">
        <f>35344.35+3559.35</f>
        <v>38903.699999999997</v>
      </c>
      <c r="L30" s="23">
        <f>24624.49+2479.84</f>
        <v>27104.33</v>
      </c>
      <c r="M30" s="24">
        <f>12439.56+1252.72</f>
        <v>13692.279999999999</v>
      </c>
      <c r="N30" s="23">
        <f t="shared" si="19"/>
        <v>80581.579999999987</v>
      </c>
    </row>
    <row r="31" spans="1:17" ht="20.25" customHeight="1" thickBot="1" x14ac:dyDescent="0.3">
      <c r="A31" s="10" t="s">
        <v>19</v>
      </c>
      <c r="B31" s="23">
        <v>1065.23</v>
      </c>
      <c r="C31" s="23">
        <v>1065.23</v>
      </c>
      <c r="D31" s="23">
        <v>1065.23</v>
      </c>
      <c r="E31" s="23">
        <v>1065.23</v>
      </c>
      <c r="F31" s="23">
        <v>1065.23</v>
      </c>
      <c r="G31" s="23">
        <v>1065.23</v>
      </c>
      <c r="H31" s="13">
        <v>1384.84</v>
      </c>
      <c r="I31" s="23">
        <v>1384.84</v>
      </c>
      <c r="J31" s="23">
        <v>1384.84</v>
      </c>
      <c r="K31" s="23">
        <v>1384.84</v>
      </c>
      <c r="L31" s="23">
        <v>1384.84</v>
      </c>
      <c r="M31" s="23">
        <v>1384.84</v>
      </c>
      <c r="N31" s="23">
        <f t="shared" si="19"/>
        <v>14700.42</v>
      </c>
    </row>
    <row r="32" spans="1:17" ht="19.5" customHeight="1" thickBot="1" x14ac:dyDescent="0.3">
      <c r="A32" s="10" t="s">
        <v>20</v>
      </c>
      <c r="B32" s="23">
        <v>13789.34</v>
      </c>
      <c r="C32" s="13">
        <v>16289.89</v>
      </c>
      <c r="D32" s="13">
        <v>0</v>
      </c>
      <c r="E32" s="23">
        <v>0</v>
      </c>
      <c r="F32" s="23">
        <v>0</v>
      </c>
      <c r="G32" s="24">
        <v>212.91</v>
      </c>
      <c r="H32" s="13">
        <v>7986</v>
      </c>
      <c r="I32" s="13">
        <v>698.7</v>
      </c>
      <c r="J32" s="13">
        <v>38250.019999999997</v>
      </c>
      <c r="K32" s="13">
        <v>0</v>
      </c>
      <c r="L32" s="13">
        <v>13994.4</v>
      </c>
      <c r="M32" s="13">
        <v>0</v>
      </c>
      <c r="N32" s="23">
        <f t="shared" si="19"/>
        <v>91221.25999999998</v>
      </c>
    </row>
    <row r="33" spans="1:18" s="22" customFormat="1" ht="19.5" customHeight="1" thickBot="1" x14ac:dyDescent="0.3">
      <c r="A33" s="21" t="s">
        <v>28</v>
      </c>
      <c r="B33" s="24">
        <f>716.5+0</f>
        <v>716.5</v>
      </c>
      <c r="C33" s="24">
        <f t="shared" ref="C33:G33" si="22">716.5+0</f>
        <v>716.5</v>
      </c>
      <c r="D33" s="24">
        <f t="shared" si="22"/>
        <v>716.5</v>
      </c>
      <c r="E33" s="24">
        <f t="shared" si="22"/>
        <v>716.5</v>
      </c>
      <c r="F33" s="24">
        <f t="shared" si="22"/>
        <v>716.5</v>
      </c>
      <c r="G33" s="24">
        <f t="shared" si="22"/>
        <v>716.5</v>
      </c>
      <c r="H33" s="24">
        <f>790.74+0</f>
        <v>790.74</v>
      </c>
      <c r="I33" s="24">
        <f t="shared" ref="I33:J33" si="23">790.74+0</f>
        <v>790.74</v>
      </c>
      <c r="J33" s="24">
        <f t="shared" si="23"/>
        <v>790.74</v>
      </c>
      <c r="K33" s="24">
        <f>790.74+0</f>
        <v>790.74</v>
      </c>
      <c r="L33" s="24">
        <f t="shared" ref="L33:M33" si="24">790.74+0</f>
        <v>790.74</v>
      </c>
      <c r="M33" s="24">
        <f t="shared" si="24"/>
        <v>790.74</v>
      </c>
      <c r="N33" s="23">
        <f t="shared" si="19"/>
        <v>9043.4399999999987</v>
      </c>
      <c r="R33" s="26"/>
    </row>
    <row r="34" spans="1:18" ht="22.5" customHeight="1" thickBot="1" x14ac:dyDescent="0.3">
      <c r="A34" s="10" t="s">
        <v>6</v>
      </c>
      <c r="B34" s="23">
        <f>8255.5*3.75</f>
        <v>30958.125</v>
      </c>
      <c r="C34" s="23">
        <f t="shared" ref="C34:I34" si="25">8255.5*3.75</f>
        <v>30958.125</v>
      </c>
      <c r="D34" s="23">
        <f t="shared" si="25"/>
        <v>30958.125</v>
      </c>
      <c r="E34" s="23">
        <f t="shared" si="25"/>
        <v>30958.125</v>
      </c>
      <c r="F34" s="23">
        <f t="shared" si="25"/>
        <v>30958.125</v>
      </c>
      <c r="G34" s="23">
        <f t="shared" si="25"/>
        <v>30958.125</v>
      </c>
      <c r="H34" s="23">
        <f t="shared" si="25"/>
        <v>30958.125</v>
      </c>
      <c r="I34" s="23">
        <f t="shared" si="25"/>
        <v>30958.125</v>
      </c>
      <c r="J34" s="23">
        <f>8255.5*4.47</f>
        <v>36902.084999999999</v>
      </c>
      <c r="K34" s="23">
        <f t="shared" ref="K34:M34" si="26">8255.5*4.47</f>
        <v>36902.084999999999</v>
      </c>
      <c r="L34" s="23">
        <f t="shared" si="26"/>
        <v>36902.084999999999</v>
      </c>
      <c r="M34" s="23">
        <f t="shared" si="26"/>
        <v>36902.084999999999</v>
      </c>
      <c r="N34" s="23">
        <f t="shared" si="19"/>
        <v>395273.34000000008</v>
      </c>
    </row>
    <row r="35" spans="1:18" ht="20.25" customHeight="1" thickBot="1" x14ac:dyDescent="0.3">
      <c r="A35" s="10" t="s">
        <v>25</v>
      </c>
      <c r="B35" s="23">
        <f>7594.28*4</f>
        <v>30377.119999999999</v>
      </c>
      <c r="C35" s="23">
        <f>7594.28*4</f>
        <v>30377.119999999999</v>
      </c>
      <c r="D35" s="23">
        <f>7594.28*4</f>
        <v>30377.119999999999</v>
      </c>
      <c r="E35" s="23">
        <f t="shared" ref="E35:M35" si="27">9121.28*4</f>
        <v>36485.120000000003</v>
      </c>
      <c r="F35" s="23">
        <f t="shared" si="27"/>
        <v>36485.120000000003</v>
      </c>
      <c r="G35" s="23">
        <f t="shared" si="27"/>
        <v>36485.120000000003</v>
      </c>
      <c r="H35" s="23">
        <f t="shared" si="27"/>
        <v>36485.120000000003</v>
      </c>
      <c r="I35" s="23">
        <f t="shared" si="27"/>
        <v>36485.120000000003</v>
      </c>
      <c r="J35" s="23">
        <f t="shared" si="27"/>
        <v>36485.120000000003</v>
      </c>
      <c r="K35" s="23">
        <f t="shared" si="27"/>
        <v>36485.120000000003</v>
      </c>
      <c r="L35" s="23">
        <f t="shared" si="27"/>
        <v>36485.120000000003</v>
      </c>
      <c r="M35" s="23">
        <f t="shared" si="27"/>
        <v>36485.120000000003</v>
      </c>
      <c r="N35" s="23">
        <f t="shared" si="19"/>
        <v>419497.44</v>
      </c>
    </row>
    <row r="36" spans="1:18" ht="18.75" customHeight="1" thickBot="1" x14ac:dyDescent="0.3">
      <c r="A36" s="10" t="s">
        <v>26</v>
      </c>
      <c r="B36" s="23">
        <v>0</v>
      </c>
      <c r="C36" s="23">
        <v>0</v>
      </c>
      <c r="D36" s="23">
        <v>0</v>
      </c>
      <c r="E36" s="23">
        <v>15600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f t="shared" si="19"/>
        <v>15600</v>
      </c>
    </row>
    <row r="37" spans="1:18" ht="18.75" customHeight="1" thickBot="1" x14ac:dyDescent="0.3">
      <c r="A37" s="10" t="s">
        <v>48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7200</v>
      </c>
      <c r="H37" s="23">
        <v>7200</v>
      </c>
      <c r="I37" s="23">
        <v>7200</v>
      </c>
      <c r="J37" s="23">
        <v>7200</v>
      </c>
      <c r="K37" s="23">
        <v>7200</v>
      </c>
      <c r="L37" s="23">
        <v>7200</v>
      </c>
      <c r="M37" s="23">
        <v>7200</v>
      </c>
      <c r="N37" s="23">
        <f t="shared" si="19"/>
        <v>50400</v>
      </c>
    </row>
    <row r="38" spans="1:18" ht="21.75" customHeight="1" thickBot="1" x14ac:dyDescent="0.3">
      <c r="A38" s="10" t="s">
        <v>33</v>
      </c>
      <c r="B38" s="23">
        <v>17426.169999999998</v>
      </c>
      <c r="C38" s="23">
        <v>15012.6</v>
      </c>
      <c r="D38" s="23">
        <v>19324.14</v>
      </c>
      <c r="E38" s="23">
        <v>15681.2</v>
      </c>
      <c r="F38" s="23">
        <v>16253.39</v>
      </c>
      <c r="G38" s="23">
        <v>15559.45</v>
      </c>
      <c r="H38" s="23">
        <v>15668.91</v>
      </c>
      <c r="I38" s="23">
        <v>15597.64</v>
      </c>
      <c r="J38" s="13">
        <v>17170.330000000002</v>
      </c>
      <c r="K38" s="13">
        <v>17463.16</v>
      </c>
      <c r="L38" s="13">
        <v>16764.64</v>
      </c>
      <c r="M38" s="13">
        <v>16271.57</v>
      </c>
      <c r="N38" s="23">
        <f t="shared" si="19"/>
        <v>198193.2</v>
      </c>
    </row>
    <row r="39" spans="1:18" ht="21.75" customHeight="1" thickBot="1" x14ac:dyDescent="0.3">
      <c r="A39" s="10" t="s">
        <v>34</v>
      </c>
      <c r="B39" s="23">
        <v>2604</v>
      </c>
      <c r="C39" s="23">
        <v>2243</v>
      </c>
      <c r="D39" s="23">
        <v>2887</v>
      </c>
      <c r="E39" s="23">
        <v>2343</v>
      </c>
      <c r="F39" s="23">
        <v>2429</v>
      </c>
      <c r="G39" s="23">
        <v>2325</v>
      </c>
      <c r="H39" s="23">
        <v>2341</v>
      </c>
      <c r="I39" s="23">
        <v>2331</v>
      </c>
      <c r="J39" s="23">
        <v>2565</v>
      </c>
      <c r="K39" s="23">
        <v>2609</v>
      </c>
      <c r="L39" s="23">
        <v>2505</v>
      </c>
      <c r="M39" s="23">
        <v>2431</v>
      </c>
      <c r="N39" s="23">
        <f t="shared" si="19"/>
        <v>29613</v>
      </c>
    </row>
    <row r="40" spans="1:18" ht="21" customHeight="1" thickBot="1" x14ac:dyDescent="0.3">
      <c r="A40" s="10" t="s">
        <v>23</v>
      </c>
      <c r="B40" s="23">
        <f t="shared" ref="B40:M40" si="28">1000+1000</f>
        <v>2000</v>
      </c>
      <c r="C40" s="23">
        <f t="shared" si="28"/>
        <v>2000</v>
      </c>
      <c r="D40" s="23">
        <f t="shared" si="28"/>
        <v>2000</v>
      </c>
      <c r="E40" s="23">
        <f t="shared" si="28"/>
        <v>2000</v>
      </c>
      <c r="F40" s="23">
        <f t="shared" si="28"/>
        <v>2000</v>
      </c>
      <c r="G40" s="23">
        <f t="shared" si="28"/>
        <v>2000</v>
      </c>
      <c r="H40" s="23">
        <f t="shared" si="28"/>
        <v>2000</v>
      </c>
      <c r="I40" s="23">
        <f t="shared" si="28"/>
        <v>2000</v>
      </c>
      <c r="J40" s="23">
        <f t="shared" si="28"/>
        <v>2000</v>
      </c>
      <c r="K40" s="23">
        <f t="shared" si="28"/>
        <v>2000</v>
      </c>
      <c r="L40" s="23">
        <f t="shared" si="28"/>
        <v>2000</v>
      </c>
      <c r="M40" s="23">
        <f t="shared" si="28"/>
        <v>2000</v>
      </c>
      <c r="N40" s="23">
        <f t="shared" si="19"/>
        <v>24000</v>
      </c>
      <c r="R40" s="20"/>
    </row>
    <row r="41" spans="1:18" ht="19.5" customHeight="1" thickBot="1" x14ac:dyDescent="0.3">
      <c r="A41" s="10" t="s">
        <v>27</v>
      </c>
      <c r="B41" s="23">
        <v>1800</v>
      </c>
      <c r="C41" s="23">
        <v>1800</v>
      </c>
      <c r="D41" s="23">
        <v>1800</v>
      </c>
      <c r="E41" s="23">
        <v>1800</v>
      </c>
      <c r="F41" s="23">
        <v>1800</v>
      </c>
      <c r="G41" s="23">
        <v>1800</v>
      </c>
      <c r="H41" s="23">
        <v>1800</v>
      </c>
      <c r="I41" s="23">
        <v>1800</v>
      </c>
      <c r="J41" s="23">
        <v>1800</v>
      </c>
      <c r="K41" s="23">
        <v>1800</v>
      </c>
      <c r="L41" s="23">
        <v>1800</v>
      </c>
      <c r="M41" s="23">
        <v>1800</v>
      </c>
      <c r="N41" s="23">
        <f>SUM(B41:M41)</f>
        <v>21600</v>
      </c>
    </row>
    <row r="42" spans="1:18" ht="20.25" customHeight="1" thickBot="1" x14ac:dyDescent="0.3">
      <c r="A42" s="10" t="s">
        <v>10</v>
      </c>
      <c r="B42" s="23">
        <v>0</v>
      </c>
      <c r="C42" s="13">
        <f>1345.4+1040</f>
        <v>2385.4</v>
      </c>
      <c r="D42" s="13">
        <f>66421.31+2933.5+3415.7+2933.5</f>
        <v>75704.009999999995</v>
      </c>
      <c r="E42" s="13">
        <f>2733.8+15419.7+2933.4+25665</f>
        <v>46751.9</v>
      </c>
      <c r="F42" s="13">
        <f>7352.2+4928+1478.2+5743+19970.2</f>
        <v>39471.600000000006</v>
      </c>
      <c r="G42" s="24">
        <f>3037+1671.4+6650.6+2714.7</f>
        <v>14073.7</v>
      </c>
      <c r="H42" s="13">
        <f>6012.4+688.2+19960</f>
        <v>26660.6</v>
      </c>
      <c r="I42" s="13">
        <f>33760.8+2901.6</f>
        <v>36662.400000000001</v>
      </c>
      <c r="J42" s="13">
        <f>30661.4+22883.9+50485.2</f>
        <v>104030.5</v>
      </c>
      <c r="K42" s="13">
        <f>38475+16714.4+16130+1757.7+1505.3+4001+3392.5+9248.2+185726.59</f>
        <v>276950.69</v>
      </c>
      <c r="L42" s="13">
        <f>5157.7</f>
        <v>5157.7</v>
      </c>
      <c r="M42" s="13">
        <f>2428.6+2748.5+9772.5</f>
        <v>14949.6</v>
      </c>
      <c r="N42" s="23">
        <f t="shared" si="19"/>
        <v>642798.1</v>
      </c>
    </row>
    <row r="43" spans="1:18" ht="22.5" customHeight="1" thickBot="1" x14ac:dyDescent="0.3">
      <c r="A43" s="6" t="s">
        <v>21</v>
      </c>
      <c r="B43" s="12">
        <f>SUM(B25:B42)</f>
        <v>209283.73145000002</v>
      </c>
      <c r="C43" s="12">
        <f t="shared" ref="C43:M43" si="29">SUM(C25:C42)</f>
        <v>212194.79885999998</v>
      </c>
      <c r="D43" s="12">
        <f t="shared" si="29"/>
        <v>273984.52559999999</v>
      </c>
      <c r="E43" s="12">
        <f t="shared" si="29"/>
        <v>262260.44698000001</v>
      </c>
      <c r="F43" s="12">
        <f t="shared" si="29"/>
        <v>238984.64488000001</v>
      </c>
      <c r="G43" s="12">
        <f t="shared" si="29"/>
        <v>220152.84158000001</v>
      </c>
      <c r="H43" s="12">
        <f t="shared" si="29"/>
        <v>241274.23792000001</v>
      </c>
      <c r="I43" s="12">
        <f t="shared" si="29"/>
        <v>244670.56123999998</v>
      </c>
      <c r="J43" s="12">
        <f t="shared" si="29"/>
        <v>357993.27054</v>
      </c>
      <c r="K43" s="12">
        <f t="shared" si="29"/>
        <v>534042.70796000003</v>
      </c>
      <c r="L43" s="12">
        <f t="shared" si="29"/>
        <v>264565.20805999998</v>
      </c>
      <c r="M43" s="12">
        <f t="shared" si="29"/>
        <v>246406.38896000001</v>
      </c>
      <c r="N43" s="12">
        <f>SUM(B43:M43)</f>
        <v>3305813.3640299998</v>
      </c>
      <c r="Q43" s="20"/>
    </row>
    <row r="44" spans="1:18" ht="18" customHeight="1" thickBot="1" x14ac:dyDescent="0.3">
      <c r="A44" s="7" t="s">
        <v>5</v>
      </c>
      <c r="B44" s="15">
        <f t="shared" ref="B44:N44" si="30">B15-B43</f>
        <v>13920.838550000015</v>
      </c>
      <c r="C44" s="15">
        <f t="shared" si="30"/>
        <v>36349.091140000033</v>
      </c>
      <c r="D44" s="15">
        <f t="shared" si="30"/>
        <v>-43056.475600000005</v>
      </c>
      <c r="E44" s="15">
        <f t="shared" si="30"/>
        <v>-19190.296979999985</v>
      </c>
      <c r="F44" s="15">
        <f t="shared" si="30"/>
        <v>-30260.054879999981</v>
      </c>
      <c r="G44" s="30">
        <f t="shared" si="30"/>
        <v>-13957.361580000026</v>
      </c>
      <c r="H44" s="15">
        <f t="shared" si="30"/>
        <v>-25724.907919999998</v>
      </c>
      <c r="I44" s="15">
        <f t="shared" si="30"/>
        <v>-5911.6012400000182</v>
      </c>
      <c r="J44" s="15">
        <f t="shared" si="30"/>
        <v>-127686.83054000002</v>
      </c>
      <c r="K44" s="15">
        <f t="shared" si="30"/>
        <v>-263505.40796000004</v>
      </c>
      <c r="L44" s="15">
        <f t="shared" si="30"/>
        <v>37603.411940000078</v>
      </c>
      <c r="M44" s="15">
        <f t="shared" si="30"/>
        <v>53128.801039999991</v>
      </c>
      <c r="N44" s="13">
        <f t="shared" si="30"/>
        <v>-388290.79402999999</v>
      </c>
    </row>
    <row r="45" spans="1:18" ht="23.25" customHeight="1" thickBot="1" x14ac:dyDescent="0.3">
      <c r="A45" s="7" t="s">
        <v>7</v>
      </c>
      <c r="B45" s="16">
        <f t="shared" ref="B45:N45" si="31">B4+B44</f>
        <v>-391996.05145000003</v>
      </c>
      <c r="C45" s="16">
        <f t="shared" si="31"/>
        <v>-355646.96030999999</v>
      </c>
      <c r="D45" s="16">
        <f t="shared" si="31"/>
        <v>-398703.43591</v>
      </c>
      <c r="E45" s="16">
        <f t="shared" si="31"/>
        <v>-417893.73288999998</v>
      </c>
      <c r="F45" s="16">
        <f t="shared" si="31"/>
        <v>-448153.78776999994</v>
      </c>
      <c r="G45" s="32">
        <f t="shared" si="31"/>
        <v>-462111.14934999996</v>
      </c>
      <c r="H45" s="16">
        <f t="shared" si="31"/>
        <v>-487836.05726999999</v>
      </c>
      <c r="I45" s="16">
        <f t="shared" si="31"/>
        <v>-493747.65850999998</v>
      </c>
      <c r="J45" s="16">
        <f t="shared" si="31"/>
        <v>-621434.48904999997</v>
      </c>
      <c r="K45" s="16">
        <f t="shared" si="31"/>
        <v>-884939.89700999996</v>
      </c>
      <c r="L45" s="16">
        <f t="shared" si="31"/>
        <v>-847336.48506999994</v>
      </c>
      <c r="M45" s="16">
        <f t="shared" si="31"/>
        <v>-794207.68402999989</v>
      </c>
      <c r="N45" s="16">
        <f t="shared" si="31"/>
        <v>-794207.68403</v>
      </c>
    </row>
    <row r="46" spans="1:18" ht="27" customHeight="1" thickBot="1" x14ac:dyDescent="0.3">
      <c r="A46" s="9" t="s">
        <v>11</v>
      </c>
      <c r="B46" s="19">
        <f t="shared" ref="B46:H46" si="32">B5+B15-B6</f>
        <v>-870067.7</v>
      </c>
      <c r="C46" s="19">
        <f t="shared" si="32"/>
        <v>-865429.95</v>
      </c>
      <c r="D46" s="19">
        <f t="shared" si="32"/>
        <v>-890547.58999999985</v>
      </c>
      <c r="E46" s="19">
        <f t="shared" si="32"/>
        <v>-876712.16999999981</v>
      </c>
      <c r="F46" s="19">
        <f t="shared" si="32"/>
        <v>-897822.30999999982</v>
      </c>
      <c r="G46" s="29">
        <f t="shared" si="32"/>
        <v>-921461.55999999982</v>
      </c>
      <c r="H46" s="19">
        <f t="shared" si="32"/>
        <v>-937222.57999999973</v>
      </c>
      <c r="I46" s="19">
        <f t="shared" ref="I46:N46" si="33">I5+I15-I6</f>
        <v>-939121.01999999979</v>
      </c>
      <c r="J46" s="19">
        <f t="shared" si="33"/>
        <v>-981727.7899999998</v>
      </c>
      <c r="K46" s="19">
        <f t="shared" si="33"/>
        <v>-1021456.8299999997</v>
      </c>
      <c r="L46" s="19">
        <f t="shared" si="33"/>
        <v>-1030206.8399999996</v>
      </c>
      <c r="M46" s="19">
        <f t="shared" si="33"/>
        <v>-1043786.2799999996</v>
      </c>
      <c r="N46" s="19">
        <f t="shared" si="33"/>
        <v>-1043786.28</v>
      </c>
    </row>
    <row r="52" spans="4:6" x14ac:dyDescent="0.25">
      <c r="F52" s="20"/>
    </row>
    <row r="53" spans="4:6" x14ac:dyDescent="0.25">
      <c r="D53" s="25"/>
    </row>
  </sheetData>
  <mergeCells count="1">
    <mergeCell ref="A1:N1"/>
  </mergeCells>
  <phoneticPr fontId="4" type="noConversion"/>
  <pageMargins left="0.19685039370078741" right="0.19685039370078741" top="0.19685039370078741" bottom="0.19685039370078741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2026-02-13T09:24:32Z</cp:lastPrinted>
  <dcterms:created xsi:type="dcterms:W3CDTF">2011-06-06T03:25:48Z</dcterms:created>
  <dcterms:modified xsi:type="dcterms:W3CDTF">2026-02-13T09:26:39Z</dcterms:modified>
</cp:coreProperties>
</file>