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4" sheetId="1" r:id="rId1"/>
  </sheets>
  <calcPr calcId="144525" refMode="R1C1"/>
</workbook>
</file>

<file path=xl/calcChain.xml><?xml version="1.0" encoding="utf-8"?>
<calcChain xmlns="http://schemas.openxmlformats.org/spreadsheetml/2006/main">
  <c r="M40" i="1" l="1"/>
  <c r="L40" i="1" l="1"/>
  <c r="M35" i="1" l="1"/>
  <c r="L35" i="1"/>
  <c r="K35" i="1" l="1"/>
  <c r="M30" i="1" l="1"/>
  <c r="L30" i="1"/>
  <c r="K30" i="1"/>
  <c r="K40" i="1" l="1"/>
  <c r="N44" i="1"/>
  <c r="J45" i="1" l="1"/>
  <c r="M28" i="1"/>
  <c r="M16" i="1"/>
  <c r="M27" i="1"/>
  <c r="M7" i="1"/>
  <c r="L28" i="1" l="1"/>
  <c r="L16" i="1"/>
  <c r="L27" i="1"/>
  <c r="L7" i="1"/>
  <c r="K28" i="1"/>
  <c r="K16" i="1"/>
  <c r="K27" i="1"/>
  <c r="K7" i="1"/>
  <c r="K34" i="1"/>
  <c r="L34" i="1"/>
  <c r="M34" i="1"/>
  <c r="K29" i="1"/>
  <c r="L29" i="1"/>
  <c r="M29" i="1"/>
  <c r="K26" i="1"/>
  <c r="L26" i="1"/>
  <c r="M26" i="1"/>
  <c r="K25" i="1"/>
  <c r="L25" i="1"/>
  <c r="M25" i="1"/>
  <c r="I27" i="1" l="1"/>
  <c r="I7" i="1"/>
  <c r="J40" i="1" l="1"/>
  <c r="I40" i="1" l="1"/>
  <c r="J35" i="1" l="1"/>
  <c r="I35" i="1" l="1"/>
  <c r="H35" i="1" l="1"/>
  <c r="H40" i="1" l="1"/>
  <c r="J28" i="1" l="1"/>
  <c r="J16" i="1"/>
  <c r="J27" i="1"/>
  <c r="J7" i="1"/>
  <c r="I28" i="1" l="1"/>
  <c r="I16" i="1"/>
  <c r="H28" i="1" l="1"/>
  <c r="H16" i="1"/>
  <c r="H27" i="1"/>
  <c r="H7" i="1"/>
  <c r="H34" i="1"/>
  <c r="I34" i="1"/>
  <c r="J34" i="1"/>
  <c r="H29" i="1" l="1"/>
  <c r="I29" i="1"/>
  <c r="J29" i="1"/>
  <c r="H26" i="1"/>
  <c r="I26" i="1"/>
  <c r="J26" i="1"/>
  <c r="H25" i="1"/>
  <c r="I25" i="1"/>
  <c r="J25" i="1"/>
  <c r="E38" i="1" l="1"/>
  <c r="G40" i="1" l="1"/>
  <c r="E39" i="1" l="1"/>
  <c r="F39" i="1"/>
  <c r="G39" i="1"/>
  <c r="G35" i="1"/>
  <c r="F35" i="1"/>
  <c r="E35" i="1"/>
  <c r="F40" i="1" l="1"/>
  <c r="G28" i="1" l="1"/>
  <c r="G16" i="1"/>
  <c r="G27" i="1"/>
  <c r="G7" i="1"/>
  <c r="E40" i="1" l="1"/>
  <c r="F28" i="1" l="1"/>
  <c r="F16" i="1"/>
  <c r="F27" i="1"/>
  <c r="F7" i="1"/>
  <c r="E28" i="1" l="1"/>
  <c r="E16" i="1"/>
  <c r="E27" i="1"/>
  <c r="E7" i="1"/>
  <c r="E34" i="1" l="1"/>
  <c r="F34" i="1"/>
  <c r="G34" i="1"/>
  <c r="E29" i="1"/>
  <c r="F29" i="1"/>
  <c r="G29" i="1"/>
  <c r="E26" i="1"/>
  <c r="F26" i="1"/>
  <c r="G26" i="1"/>
  <c r="E25" i="1"/>
  <c r="F25" i="1"/>
  <c r="G25" i="1"/>
  <c r="D40" i="1" l="1"/>
  <c r="C40" i="1" l="1"/>
  <c r="D39" i="1" l="1"/>
  <c r="C39" i="1"/>
  <c r="B39" i="1" l="1"/>
  <c r="D35" i="1" l="1"/>
  <c r="C35" i="1" l="1"/>
  <c r="B30" i="1" l="1"/>
  <c r="D28" i="1" l="1"/>
  <c r="D16" i="1"/>
  <c r="D27" i="1"/>
  <c r="D7" i="1"/>
  <c r="B40" i="1" l="1"/>
  <c r="C28" i="1" l="1"/>
  <c r="C16" i="1"/>
  <c r="C27" i="1"/>
  <c r="C7" i="1"/>
  <c r="B28" i="1" l="1"/>
  <c r="B16" i="1"/>
  <c r="B27" i="1"/>
  <c r="B7" i="1"/>
  <c r="C34" i="1" l="1"/>
  <c r="D34" i="1"/>
  <c r="C29" i="1"/>
  <c r="D29" i="1"/>
  <c r="C26" i="1"/>
  <c r="D26" i="1"/>
  <c r="C25" i="1"/>
  <c r="D25" i="1"/>
  <c r="B35" i="1" l="1"/>
  <c r="B34" i="1"/>
  <c r="B29" i="1"/>
  <c r="B26" i="1"/>
  <c r="B25" i="1"/>
  <c r="N38" i="1" l="1"/>
  <c r="D15" i="1" l="1"/>
  <c r="B15" i="1" l="1"/>
  <c r="C15" i="1"/>
  <c r="C41" i="1" s="1"/>
  <c r="C42" i="1" s="1"/>
  <c r="E15" i="1"/>
  <c r="F15" i="1"/>
  <c r="G15" i="1"/>
  <c r="H15" i="1"/>
  <c r="I15" i="1"/>
  <c r="J15" i="1"/>
  <c r="K15" i="1"/>
  <c r="L15" i="1"/>
  <c r="M15" i="1"/>
  <c r="K41" i="1" l="1"/>
  <c r="K42" i="1" s="1"/>
  <c r="G41" i="1"/>
  <c r="G42" i="1" s="1"/>
  <c r="E41" i="1"/>
  <c r="N40" i="1"/>
  <c r="N28" i="1" l="1"/>
  <c r="N7" i="1"/>
  <c r="N26" i="1"/>
  <c r="N27" i="1"/>
  <c r="N29" i="1"/>
  <c r="N30" i="1"/>
  <c r="N31" i="1"/>
  <c r="N32" i="1"/>
  <c r="N33" i="1"/>
  <c r="N34" i="1"/>
  <c r="N35" i="1"/>
  <c r="N36" i="1"/>
  <c r="N37" i="1"/>
  <c r="N39" i="1"/>
  <c r="N25" i="1"/>
  <c r="N8" i="1"/>
  <c r="N9" i="1"/>
  <c r="N10" i="1"/>
  <c r="N11" i="1"/>
  <c r="N12" i="1"/>
  <c r="N13" i="1"/>
  <c r="N14" i="1"/>
  <c r="N22" i="1" l="1"/>
  <c r="N5" i="1" l="1"/>
  <c r="N4" i="1"/>
  <c r="M41" i="1" l="1"/>
  <c r="M42" i="1" s="1"/>
  <c r="L6" i="1"/>
  <c r="N17" i="1"/>
  <c r="N18" i="1"/>
  <c r="N19" i="1"/>
  <c r="N20" i="1"/>
  <c r="N21" i="1"/>
  <c r="N23" i="1"/>
  <c r="L41" i="1"/>
  <c r="L42" i="1" s="1"/>
  <c r="K6" i="1"/>
  <c r="M6" i="1"/>
  <c r="J6" i="1" l="1"/>
  <c r="I6" i="1"/>
  <c r="H41" i="1"/>
  <c r="H42" i="1" s="1"/>
  <c r="H6" i="1"/>
  <c r="I41" i="1" l="1"/>
  <c r="I42" i="1" s="1"/>
  <c r="J41" i="1"/>
  <c r="J42" i="1" s="1"/>
  <c r="F6" i="1" l="1"/>
  <c r="N16" i="1"/>
  <c r="D6" i="1"/>
  <c r="C6" i="1"/>
  <c r="B6" i="1"/>
  <c r="E6" i="1" l="1"/>
  <c r="F41" i="1"/>
  <c r="F42" i="1" s="1"/>
  <c r="G6" i="1"/>
  <c r="B45" i="1"/>
  <c r="C5" i="1" s="1"/>
  <c r="C45" i="1" s="1"/>
  <c r="D5" i="1" s="1"/>
  <c r="D45" i="1" s="1"/>
  <c r="E5" i="1" s="1"/>
  <c r="N6" i="1" l="1"/>
  <c r="N15" i="1"/>
  <c r="E45" i="1"/>
  <c r="F5" i="1" s="1"/>
  <c r="E42" i="1"/>
  <c r="B41" i="1"/>
  <c r="D41" i="1"/>
  <c r="D42" i="1" s="1"/>
  <c r="N45" i="1" l="1"/>
  <c r="N41" i="1"/>
  <c r="N42" i="1" s="1"/>
  <c r="N43" i="1" s="1"/>
  <c r="B42" i="1"/>
  <c r="B43" i="1" s="1"/>
  <c r="C4" i="1" s="1"/>
  <c r="C43" i="1" s="1"/>
  <c r="D4" i="1" s="1"/>
  <c r="D43" i="1" s="1"/>
  <c r="E4" i="1" s="1"/>
  <c r="F45" i="1" l="1"/>
  <c r="G5" i="1" s="1"/>
  <c r="G45" i="1" s="1"/>
  <c r="E43" i="1"/>
  <c r="F4" i="1" s="1"/>
  <c r="H5" i="1" l="1"/>
  <c r="H45" i="1" l="1"/>
  <c r="F43" i="1"/>
  <c r="I5" i="1" l="1"/>
  <c r="I45" i="1" s="1"/>
  <c r="G4" i="1"/>
  <c r="G43" i="1" s="1"/>
  <c r="J5" i="1" l="1"/>
  <c r="H4" i="1"/>
  <c r="H43" i="1" s="1"/>
  <c r="I4" i="1" s="1"/>
  <c r="I43" i="1" s="1"/>
  <c r="J4" i="1" s="1"/>
  <c r="J43" i="1" l="1"/>
  <c r="K5" i="1"/>
  <c r="K45" i="1" l="1"/>
  <c r="L5" i="1" s="1"/>
  <c r="L45" i="1" s="1"/>
  <c r="K4" i="1"/>
  <c r="K43" i="1" s="1"/>
  <c r="L4" i="1" s="1"/>
  <c r="L43" i="1" s="1"/>
  <c r="M4" i="1" s="1"/>
  <c r="M43" i="1" s="1"/>
  <c r="M5" i="1" l="1"/>
  <c r="M45" i="1" s="1"/>
</calcChain>
</file>

<file path=xl/sharedStrings.xml><?xml version="1.0" encoding="utf-8"?>
<sst xmlns="http://schemas.openxmlformats.org/spreadsheetml/2006/main" count="58" uniqueCount="48">
  <si>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</si>
  <si>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</si>
  <si>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</si>
  <si>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</si>
  <si>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</si>
  <si>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</si>
  <si>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</si>
  <si>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</si>
  <si>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</si>
  <si>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</si>
  <si>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</si>
  <si>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</si>
  <si>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</si>
  <si>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</si>
  <si>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</si>
  <si>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</si>
  <si>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</si>
  <si>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</si>
  <si>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</si>
  <si>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</si>
  <si>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</si>
  <si>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</si>
  <si>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</si>
  <si>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приборов учета</t>
  </si>
  <si>
    <t>Доход от использования общего имущества</t>
  </si>
  <si>
    <t>Комплексное обслуживание лифтов</t>
  </si>
  <si>
    <t>Отведение сточных вод на ОИ</t>
  </si>
  <si>
    <t xml:space="preserve">                       ООО "УК "Авангард"</t>
  </si>
  <si>
    <t>Периодическое техническое освидетельствование лифтов</t>
  </si>
  <si>
    <t>Установка пластиковых окон</t>
  </si>
  <si>
    <t>Содержание жилья и текущий ремонт,  ОПУ</t>
  </si>
  <si>
    <t>Январь 2024г.</t>
  </si>
  <si>
    <t>Февраль 2024г.</t>
  </si>
  <si>
    <t>Март 2024г.</t>
  </si>
  <si>
    <t>Апрель 2024г.</t>
  </si>
  <si>
    <t>Май 2024г.</t>
  </si>
  <si>
    <t>Июнь 2024г.</t>
  </si>
  <si>
    <t>Июль 2024г.</t>
  </si>
  <si>
    <t>Август 2024г.</t>
  </si>
  <si>
    <t>Сентябрь 2024г.</t>
  </si>
  <si>
    <t>Октябрь 2024г.</t>
  </si>
  <si>
    <t>Ноябрь 2024г.</t>
  </si>
  <si>
    <t>Декабрь 2024г.</t>
  </si>
  <si>
    <t>Всего:                       за  2024г.</t>
  </si>
  <si>
    <t>Вознаграждение совета МКД</t>
  </si>
  <si>
    <t>Налоги с вознаграждения совета МКД</t>
  </si>
  <si>
    <t>Корректировка задолженности по решению суда</t>
  </si>
  <si>
    <t xml:space="preserve">       ОТЧЕТ по дому Ударная, 92/1 за период 01.01.2024г. по 31.12.2024г.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</si>
</sst>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164" fontId="7" fillId="2" borderId="4" xfId="0" applyNumberFormat="1" applyFont="1" applyFill="1" applyBorder="1" applyAlignment="1">
      <alignment horizontal="left"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left" vertical="top"/>
    </xf>
    <xf numFmtId="164" fontId="6" fillId="0" borderId="4" xfId="0" applyNumberFormat="1" applyFont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A32" zoomScale="75" workbookViewId="0">
      <selection activeCell="A32" sqref="A1:H1048576"/>
    </sheetView>
  </sheetViews>
  <sheetFormatPr defaultRowHeight="13.2" x14ac:dyDescent="0.25"/>
  <cols>
    <col min="1" max="1" width="58.6640625" customWidth="1"/>
    <col min="2" max="2" width="14.33203125" customWidth="1"/>
    <col min="3" max="3" width="14.109375" customWidth="1"/>
    <col min="4" max="4" width="15.33203125" customWidth="1"/>
    <col min="5" max="6" width="14.109375" customWidth="1"/>
    <col min="7" max="7" width="16.33203125" customWidth="1"/>
    <col min="8" max="8" width="15" customWidth="1"/>
    <col min="9" max="9" width="15.6640625" customWidth="1"/>
    <col min="10" max="13" width="16.5546875" customWidth="1"/>
    <col min="14" max="14" width="15.88671875" customWidth="1"/>
  </cols>
  <sheetData>
    <row r="1" spans="1:20" ht="20.399999999999999" x14ac:dyDescent="0.35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0" ht="20.25" customHeight="1" thickBot="1" x14ac:dyDescent="0.45">
      <c r="A2" s="24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0" ht="38.25" customHeight="1" thickBot="1" x14ac:dyDescent="0.3">
      <c r="A3" s="1" t="s">
        <v>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</row>
    <row r="4" spans="1:20" ht="23.25" customHeight="1" thickBot="1" x14ac:dyDescent="0.3">
      <c r="A4" s="3" t="s">
        <v>14</v>
      </c>
      <c r="B4" s="10">
        <v>-378367.86</v>
      </c>
      <c r="C4" s="10">
        <f t="shared" ref="C4" si="0">B43</f>
        <v>-334346.4355599999</v>
      </c>
      <c r="D4" s="10">
        <f t="shared" ref="D4" si="1">C43</f>
        <v>-312508.14500999986</v>
      </c>
      <c r="E4" s="10">
        <f t="shared" ref="E4" si="2">D43</f>
        <v>-493621.65336999984</v>
      </c>
      <c r="F4" s="10">
        <f>E43</f>
        <v>-490424.95375999983</v>
      </c>
      <c r="G4" s="10">
        <f t="shared" ref="G4" si="3">F43</f>
        <v>-460872.47235999978</v>
      </c>
      <c r="H4" s="10">
        <f t="shared" ref="H4" si="4">G43</f>
        <v>-404439.94593999977</v>
      </c>
      <c r="I4" s="10">
        <f t="shared" ref="I4" si="5">H43</f>
        <v>-303883.28814999975</v>
      </c>
      <c r="J4" s="10">
        <f t="shared" ref="J4" si="6">I43</f>
        <v>-221658.4316999997</v>
      </c>
      <c r="K4" s="10">
        <f>J43</f>
        <v>-167452.54234999971</v>
      </c>
      <c r="L4" s="10">
        <f t="shared" ref="L4:M4" si="7">K43</f>
        <v>-170589.01469999968</v>
      </c>
      <c r="M4" s="10">
        <f t="shared" si="7"/>
        <v>-142374.77254999964</v>
      </c>
      <c r="N4" s="10">
        <f>B4</f>
        <v>-378367.86</v>
      </c>
    </row>
    <row r="5" spans="1:20" ht="21" customHeight="1" thickBot="1" x14ac:dyDescent="0.3">
      <c r="A5" s="3" t="s">
        <v>13</v>
      </c>
      <c r="B5" s="10">
        <v>-865631.53</v>
      </c>
      <c r="C5" s="10">
        <f t="shared" ref="C5:J5" si="8">B45</f>
        <v>-887025.38</v>
      </c>
      <c r="D5" s="10">
        <f t="shared" si="8"/>
        <v>-859669.77</v>
      </c>
      <c r="E5" s="10">
        <f t="shared" si="8"/>
        <v>-851956.33</v>
      </c>
      <c r="F5" s="10">
        <f t="shared" si="8"/>
        <v>-875998.3899999999</v>
      </c>
      <c r="G5" s="10">
        <f t="shared" si="8"/>
        <v>-883319.82999999984</v>
      </c>
      <c r="H5" s="10">
        <f t="shared" si="8"/>
        <v>-867215.93999999983</v>
      </c>
      <c r="I5" s="10">
        <f t="shared" si="8"/>
        <v>-855050.7799999998</v>
      </c>
      <c r="J5" s="10">
        <f t="shared" si="8"/>
        <v>-817332.63999999966</v>
      </c>
      <c r="K5" s="10">
        <f t="shared" ref="K5" si="9">J45</f>
        <v>-819346.10999999964</v>
      </c>
      <c r="L5" s="10">
        <f>K45</f>
        <v>-819999.18999999959</v>
      </c>
      <c r="M5" s="10">
        <f>L45</f>
        <v>-853968.41999999958</v>
      </c>
      <c r="N5" s="10">
        <f>B5</f>
        <v>-865631.53</v>
      </c>
    </row>
    <row r="6" spans="1:20" ht="20.25" customHeight="1" thickBot="1" x14ac:dyDescent="0.3">
      <c r="A6" s="4" t="s">
        <v>12</v>
      </c>
      <c r="B6" s="11">
        <f>SUM(B7:B14)</f>
        <v>227298.02</v>
      </c>
      <c r="C6" s="11">
        <f>SUM(C7:C14)</f>
        <v>214302.55</v>
      </c>
      <c r="D6" s="11">
        <f>SUM(D7:D14)</f>
        <v>210317.71999999997</v>
      </c>
      <c r="E6" s="11">
        <f t="shared" ref="E6:M6" si="10">SUM(E7:E14)</f>
        <v>215198.22999999998</v>
      </c>
      <c r="F6" s="11">
        <f t="shared" si="10"/>
        <v>210948.59999999998</v>
      </c>
      <c r="G6" s="11">
        <f t="shared" si="10"/>
        <v>217110.95999999996</v>
      </c>
      <c r="H6" s="11">
        <f t="shared" si="10"/>
        <v>226840.96999999997</v>
      </c>
      <c r="I6" s="11">
        <f t="shared" si="10"/>
        <v>203033.74999999997</v>
      </c>
      <c r="J6" s="11">
        <f t="shared" si="10"/>
        <v>203033.74999999997</v>
      </c>
      <c r="K6" s="11">
        <f t="shared" si="10"/>
        <v>203033.74999999997</v>
      </c>
      <c r="L6" s="11">
        <f t="shared" si="10"/>
        <v>232213.75</v>
      </c>
      <c r="M6" s="11">
        <f t="shared" si="10"/>
        <v>218824.04</v>
      </c>
      <c r="N6" s="11">
        <f>SUM(B6:M6)</f>
        <v>2582156.09</v>
      </c>
    </row>
    <row r="7" spans="1:20" ht="24.75" customHeight="1" thickBot="1" x14ac:dyDescent="0.3">
      <c r="A7" s="8" t="s">
        <v>30</v>
      </c>
      <c r="B7" s="12">
        <f t="shared" ref="B7:G7" si="11">197452.8+1499.52</f>
        <v>198952.31999999998</v>
      </c>
      <c r="C7" s="12">
        <f t="shared" si="11"/>
        <v>198952.31999999998</v>
      </c>
      <c r="D7" s="12">
        <f t="shared" si="11"/>
        <v>198952.31999999998</v>
      </c>
      <c r="E7" s="12">
        <f t="shared" si="11"/>
        <v>198952.31999999998</v>
      </c>
      <c r="F7" s="12">
        <f t="shared" si="11"/>
        <v>198952.31999999998</v>
      </c>
      <c r="G7" s="12">
        <f t="shared" si="11"/>
        <v>198952.31999999998</v>
      </c>
      <c r="H7" s="12">
        <f t="shared" ref="H7:M7" si="12">197452.8+1499.52</f>
        <v>198952.31999999998</v>
      </c>
      <c r="I7" s="12">
        <f t="shared" si="12"/>
        <v>198952.31999999998</v>
      </c>
      <c r="J7" s="12">
        <f t="shared" si="12"/>
        <v>198952.31999999998</v>
      </c>
      <c r="K7" s="12">
        <f t="shared" si="12"/>
        <v>198952.31999999998</v>
      </c>
      <c r="L7" s="12">
        <f t="shared" si="12"/>
        <v>198952.31999999998</v>
      </c>
      <c r="M7" s="12">
        <f t="shared" si="12"/>
        <v>198952.31999999998</v>
      </c>
      <c r="N7" s="12">
        <f>SUM(B7:M7)</f>
        <v>2387427.84</v>
      </c>
    </row>
    <row r="8" spans="1:20" ht="24.75" customHeight="1" thickBot="1" x14ac:dyDescent="0.3">
      <c r="A8" s="8" t="s">
        <v>15</v>
      </c>
      <c r="B8" s="12">
        <v>105.63</v>
      </c>
      <c r="C8" s="12">
        <v>3789.7</v>
      </c>
      <c r="D8" s="12">
        <v>0</v>
      </c>
      <c r="E8" s="12">
        <v>0</v>
      </c>
      <c r="F8" s="12">
        <v>0</v>
      </c>
      <c r="G8" s="12">
        <v>5813.88</v>
      </c>
      <c r="H8" s="12">
        <v>11552.27</v>
      </c>
      <c r="I8" s="12">
        <v>0</v>
      </c>
      <c r="J8" s="12">
        <v>0</v>
      </c>
      <c r="K8" s="12">
        <v>0</v>
      </c>
      <c r="L8" s="12">
        <v>-1198.3599999999999</v>
      </c>
      <c r="M8" s="12">
        <v>13678.45</v>
      </c>
      <c r="N8" s="12">
        <f t="shared" ref="N8:N14" si="13">SUM(B8:M8)</f>
        <v>33741.57</v>
      </c>
    </row>
    <row r="9" spans="1:20" ht="21.75" customHeight="1" thickBot="1" x14ac:dyDescent="0.3">
      <c r="A9" s="8" t="s">
        <v>16</v>
      </c>
      <c r="B9" s="12">
        <v>654.35</v>
      </c>
      <c r="C9" s="12">
        <v>654.35</v>
      </c>
      <c r="D9" s="12">
        <v>654.37</v>
      </c>
      <c r="E9" s="12">
        <v>654.37</v>
      </c>
      <c r="F9" s="12">
        <v>654.37</v>
      </c>
      <c r="G9" s="12">
        <v>654.37</v>
      </c>
      <c r="H9" s="12">
        <v>722.88</v>
      </c>
      <c r="I9" s="12">
        <v>722.88</v>
      </c>
      <c r="J9" s="12">
        <v>722.88</v>
      </c>
      <c r="K9" s="12">
        <v>722.88</v>
      </c>
      <c r="L9" s="12">
        <v>722.88</v>
      </c>
      <c r="M9" s="12">
        <v>722.88</v>
      </c>
      <c r="N9" s="12">
        <f t="shared" si="13"/>
        <v>8263.4599999999991</v>
      </c>
    </row>
    <row r="10" spans="1:20" ht="22.5" customHeight="1" thickBot="1" x14ac:dyDescent="0.3">
      <c r="A10" s="8" t="s">
        <v>17</v>
      </c>
      <c r="B10" s="12">
        <v>9217.07</v>
      </c>
      <c r="C10" s="12">
        <v>7743.93</v>
      </c>
      <c r="D10" s="12">
        <v>7548.78</v>
      </c>
      <c r="E10" s="12">
        <v>12429.29</v>
      </c>
      <c r="F10" s="12">
        <v>8179.66</v>
      </c>
      <c r="G10" s="12">
        <v>8528.14</v>
      </c>
      <c r="H10" s="12">
        <v>12254.95</v>
      </c>
      <c r="I10" s="12">
        <v>0</v>
      </c>
      <c r="J10" s="12">
        <v>0</v>
      </c>
      <c r="K10" s="12">
        <v>0</v>
      </c>
      <c r="L10" s="12">
        <v>31107.61</v>
      </c>
      <c r="M10" s="12">
        <v>6921.91</v>
      </c>
      <c r="N10" s="12">
        <f t="shared" si="13"/>
        <v>103931.34</v>
      </c>
    </row>
    <row r="11" spans="1:20" ht="22.5" customHeight="1" thickBot="1" x14ac:dyDescent="0.3">
      <c r="A11" s="8" t="s">
        <v>26</v>
      </c>
      <c r="B11" s="12">
        <v>1262.25</v>
      </c>
      <c r="C11" s="12">
        <v>1262.25</v>
      </c>
      <c r="D11" s="12">
        <v>1262.25</v>
      </c>
      <c r="E11" s="12">
        <v>1262.25</v>
      </c>
      <c r="F11" s="12">
        <v>1262.25</v>
      </c>
      <c r="G11" s="12">
        <v>1262.25</v>
      </c>
      <c r="H11" s="12">
        <v>1458.55</v>
      </c>
      <c r="I11" s="12">
        <v>1458.55</v>
      </c>
      <c r="J11" s="12">
        <v>1458.55</v>
      </c>
      <c r="K11" s="12">
        <v>1458.55</v>
      </c>
      <c r="L11" s="12">
        <v>729.3</v>
      </c>
      <c r="M11" s="12">
        <v>-3351.52</v>
      </c>
      <c r="N11" s="12">
        <f t="shared" si="13"/>
        <v>10785.479999999996</v>
      </c>
    </row>
    <row r="12" spans="1:20" ht="22.5" customHeight="1" thickBot="1" x14ac:dyDescent="0.3">
      <c r="A12" s="8" t="s">
        <v>44</v>
      </c>
      <c r="B12" s="12">
        <v>15206.4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21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f t="shared" si="13"/>
        <v>15206.4</v>
      </c>
    </row>
    <row r="13" spans="1:20" ht="22.5" hidden="1" customHeight="1" thickBot="1" x14ac:dyDescent="0.3">
      <c r="A13" s="8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 t="shared" si="13"/>
        <v>0</v>
      </c>
    </row>
    <row r="14" spans="1:20" ht="22.5" customHeight="1" thickBot="1" x14ac:dyDescent="0.3">
      <c r="A14" s="8" t="s">
        <v>24</v>
      </c>
      <c r="B14" s="12">
        <v>1900</v>
      </c>
      <c r="C14" s="12">
        <v>1900</v>
      </c>
      <c r="D14" s="12">
        <v>1900</v>
      </c>
      <c r="E14" s="12">
        <v>1900</v>
      </c>
      <c r="F14" s="12">
        <v>1900</v>
      </c>
      <c r="G14" s="12">
        <v>1900</v>
      </c>
      <c r="H14" s="12">
        <v>1900</v>
      </c>
      <c r="I14" s="12">
        <v>1900</v>
      </c>
      <c r="J14" s="12">
        <v>1900</v>
      </c>
      <c r="K14" s="12">
        <v>1900</v>
      </c>
      <c r="L14" s="12">
        <v>1900</v>
      </c>
      <c r="M14" s="12">
        <v>1900</v>
      </c>
      <c r="N14" s="12">
        <f t="shared" si="13"/>
        <v>22800</v>
      </c>
    </row>
    <row r="15" spans="1:20" ht="20.25" customHeight="1" thickBot="1" x14ac:dyDescent="0.3">
      <c r="A15" s="6" t="s">
        <v>8</v>
      </c>
      <c r="B15" s="13">
        <f>SUM(B16:B23)</f>
        <v>205904.17000000004</v>
      </c>
      <c r="C15" s="13">
        <f>SUM(C16:C23)</f>
        <v>241658.16000000003</v>
      </c>
      <c r="D15" s="13">
        <f>SUM(D16:D23)</f>
        <v>218031.16</v>
      </c>
      <c r="E15" s="13">
        <f t="shared" ref="E15:M15" si="14">SUM(E16:E23)</f>
        <v>191156.17</v>
      </c>
      <c r="F15" s="13">
        <f t="shared" si="14"/>
        <v>203627.16</v>
      </c>
      <c r="G15" s="13">
        <f t="shared" si="14"/>
        <v>233214.84999999998</v>
      </c>
      <c r="H15" s="13">
        <f t="shared" si="14"/>
        <v>239006.13000000003</v>
      </c>
      <c r="I15" s="13">
        <f t="shared" si="14"/>
        <v>228935.71000000005</v>
      </c>
      <c r="J15" s="13">
        <f t="shared" si="14"/>
        <v>201020.28</v>
      </c>
      <c r="K15" s="13">
        <f t="shared" si="14"/>
        <v>202380.67000000004</v>
      </c>
      <c r="L15" s="13">
        <f t="shared" si="14"/>
        <v>198244.52000000002</v>
      </c>
      <c r="M15" s="13">
        <f t="shared" si="14"/>
        <v>232296.89</v>
      </c>
      <c r="N15" s="13">
        <f>SUM(B15:M15)</f>
        <v>2595475.87</v>
      </c>
      <c r="T15" s="9"/>
    </row>
    <row r="16" spans="1:20" ht="24" customHeight="1" thickBot="1" x14ac:dyDescent="0.3">
      <c r="A16" s="8" t="s">
        <v>30</v>
      </c>
      <c r="B16" s="12">
        <f>180210.48+1346.19</f>
        <v>181556.67</v>
      </c>
      <c r="C16" s="12">
        <f>211541.6+1540.66</f>
        <v>213082.26</v>
      </c>
      <c r="D16" s="12">
        <f>201948.21+1480.37</f>
        <v>203428.58</v>
      </c>
      <c r="E16" s="12">
        <f>179364.26+1360.85+116.27</f>
        <v>180841.38</v>
      </c>
      <c r="F16" s="12">
        <f>178902.3+1349.73</f>
        <v>180252.03</v>
      </c>
      <c r="G16" s="12">
        <f>216327.87+1771.38+1503.22+523.61</f>
        <v>220126.07999999999</v>
      </c>
      <c r="H16" s="12">
        <f>219112.75+1670.56+871.11+193.32</f>
        <v>221847.74</v>
      </c>
      <c r="I16" s="12">
        <f>200623.54+1437.19+200</f>
        <v>202260.73</v>
      </c>
      <c r="J16" s="12">
        <f>194489.7+1426.4+231.87+124.49</f>
        <v>196272.46</v>
      </c>
      <c r="K16" s="12">
        <f>197228.04+1387.39+227.8+122.31</f>
        <v>198965.54</v>
      </c>
      <c r="L16" s="12">
        <f>190381.65+1419.93+200</f>
        <v>192001.58</v>
      </c>
      <c r="M16" s="12">
        <f>196648.81+1546.07+214.9+115.39</f>
        <v>198525.17</v>
      </c>
      <c r="N16" s="12">
        <f>SUM(B16:M16)</f>
        <v>2389160.2199999997</v>
      </c>
    </row>
    <row r="17" spans="1:14" ht="26.25" customHeight="1" thickBot="1" x14ac:dyDescent="0.3">
      <c r="A17" s="8" t="s">
        <v>15</v>
      </c>
      <c r="B17" s="12">
        <v>18.57</v>
      </c>
      <c r="C17" s="12">
        <v>331.38</v>
      </c>
      <c r="D17" s="12">
        <v>3358.81</v>
      </c>
      <c r="E17" s="12">
        <v>110.31</v>
      </c>
      <c r="F17" s="12">
        <v>21.96</v>
      </c>
      <c r="G17" s="12">
        <v>727.34</v>
      </c>
      <c r="H17" s="12">
        <v>5449.45</v>
      </c>
      <c r="I17" s="12">
        <v>10600.11</v>
      </c>
      <c r="J17" s="12">
        <v>551.07000000000005</v>
      </c>
      <c r="K17" s="12">
        <v>245.25</v>
      </c>
      <c r="L17" s="12">
        <v>126.07</v>
      </c>
      <c r="M17" s="12">
        <v>353.88</v>
      </c>
      <c r="N17" s="12">
        <f t="shared" ref="N17:N23" si="15">SUM(B17:M17)</f>
        <v>21894.2</v>
      </c>
    </row>
    <row r="18" spans="1:14" ht="26.25" customHeight="1" thickBot="1" x14ac:dyDescent="0.3">
      <c r="A18" s="8" t="s">
        <v>16</v>
      </c>
      <c r="B18" s="12">
        <v>602.91999999999996</v>
      </c>
      <c r="C18" s="12">
        <v>701.53</v>
      </c>
      <c r="D18" s="12">
        <v>669.63</v>
      </c>
      <c r="E18" s="12">
        <v>595.54</v>
      </c>
      <c r="F18" s="12">
        <v>593.9</v>
      </c>
      <c r="G18" s="12">
        <v>780.43</v>
      </c>
      <c r="H18" s="12">
        <v>750.26</v>
      </c>
      <c r="I18" s="12">
        <v>726.54</v>
      </c>
      <c r="J18" s="12">
        <v>722.42</v>
      </c>
      <c r="K18" s="12">
        <v>730.54</v>
      </c>
      <c r="L18" s="12">
        <v>695.91</v>
      </c>
      <c r="M18" s="12">
        <v>730.62</v>
      </c>
      <c r="N18" s="12">
        <f t="shared" si="15"/>
        <v>8300.24</v>
      </c>
    </row>
    <row r="19" spans="1:14" ht="24" customHeight="1" thickBot="1" x14ac:dyDescent="0.3">
      <c r="A19" s="8" t="s">
        <v>17</v>
      </c>
      <c r="B19" s="14">
        <v>6036.73</v>
      </c>
      <c r="C19" s="15">
        <v>9429.8799999999992</v>
      </c>
      <c r="D19" s="15">
        <v>7932</v>
      </c>
      <c r="E19" s="15">
        <v>6862.23</v>
      </c>
      <c r="F19" s="15">
        <v>11015.54</v>
      </c>
      <c r="G19" s="15">
        <v>9266.1299999999992</v>
      </c>
      <c r="H19" s="12">
        <v>9483.23</v>
      </c>
      <c r="I19" s="12">
        <v>11992.19</v>
      </c>
      <c r="J19" s="12">
        <v>1068.81</v>
      </c>
      <c r="K19" s="12">
        <v>918.92</v>
      </c>
      <c r="L19" s="12">
        <v>319.95</v>
      </c>
      <c r="M19" s="12">
        <v>27652.54</v>
      </c>
      <c r="N19" s="12">
        <f t="shared" si="15"/>
        <v>101978.15</v>
      </c>
    </row>
    <row r="20" spans="1:14" ht="24" customHeight="1" thickBot="1" x14ac:dyDescent="0.3">
      <c r="A20" s="8" t="s">
        <v>26</v>
      </c>
      <c r="B20" s="16">
        <v>1160.48</v>
      </c>
      <c r="C20" s="16">
        <v>1343.79</v>
      </c>
      <c r="D20" s="16">
        <v>1286.01</v>
      </c>
      <c r="E20" s="16">
        <v>1146.71</v>
      </c>
      <c r="F20" s="16">
        <v>1143.73</v>
      </c>
      <c r="G20" s="16">
        <v>1314.87</v>
      </c>
      <c r="H20" s="14">
        <v>1375.45</v>
      </c>
      <c r="I20" s="15">
        <v>1456.14</v>
      </c>
      <c r="J20" s="15">
        <v>1405.52</v>
      </c>
      <c r="K20" s="12">
        <v>1420.42</v>
      </c>
      <c r="L20" s="12">
        <v>1401.01</v>
      </c>
      <c r="M20" s="12">
        <v>734.68</v>
      </c>
      <c r="N20" s="12">
        <f t="shared" si="15"/>
        <v>15188.81</v>
      </c>
    </row>
    <row r="21" spans="1:14" ht="24" customHeight="1" thickBot="1" x14ac:dyDescent="0.3">
      <c r="A21" s="8" t="s">
        <v>44</v>
      </c>
      <c r="B21" s="14">
        <v>13728.8</v>
      </c>
      <c r="C21" s="15">
        <v>15769.32</v>
      </c>
      <c r="D21" s="15">
        <v>1256.1300000000001</v>
      </c>
      <c r="E21" s="14">
        <v>0</v>
      </c>
      <c r="F21" s="15">
        <v>0</v>
      </c>
      <c r="G21" s="15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f t="shared" si="15"/>
        <v>30754.25</v>
      </c>
    </row>
    <row r="22" spans="1:14" ht="24" hidden="1" customHeight="1" thickBot="1" x14ac:dyDescent="0.3">
      <c r="A22" s="8" t="s">
        <v>29</v>
      </c>
      <c r="B22" s="14"/>
      <c r="C22" s="14"/>
      <c r="D22" s="14"/>
      <c r="E22" s="14"/>
      <c r="F22" s="14"/>
      <c r="G22" s="14"/>
      <c r="H22" s="14"/>
      <c r="I22" s="12"/>
      <c r="J22" s="12"/>
      <c r="K22" s="12"/>
      <c r="L22" s="12"/>
      <c r="M22" s="12"/>
      <c r="N22" s="12">
        <f t="shared" si="15"/>
        <v>0</v>
      </c>
    </row>
    <row r="23" spans="1:14" ht="24" customHeight="1" thickBot="1" x14ac:dyDescent="0.3">
      <c r="A23" s="8" t="s">
        <v>24</v>
      </c>
      <c r="B23" s="14">
        <v>2800</v>
      </c>
      <c r="C23" s="14">
        <v>1000</v>
      </c>
      <c r="D23" s="14">
        <v>100</v>
      </c>
      <c r="E23" s="14">
        <v>1600</v>
      </c>
      <c r="F23" s="14">
        <v>10600</v>
      </c>
      <c r="G23" s="14">
        <v>1000</v>
      </c>
      <c r="H23" s="12">
        <v>100</v>
      </c>
      <c r="I23" s="12">
        <v>1900</v>
      </c>
      <c r="J23" s="12">
        <v>1000</v>
      </c>
      <c r="K23" s="12">
        <v>100</v>
      </c>
      <c r="L23" s="12">
        <v>3700</v>
      </c>
      <c r="M23" s="12">
        <v>4300</v>
      </c>
      <c r="N23" s="12">
        <f t="shared" si="15"/>
        <v>28200</v>
      </c>
    </row>
    <row r="24" spans="1:14" ht="21.75" customHeight="1" thickBot="1" x14ac:dyDescent="0.3">
      <c r="A24" s="7" t="s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ht="19.5" customHeight="1" thickBot="1" x14ac:dyDescent="0.3">
      <c r="A25" s="8" t="s">
        <v>1</v>
      </c>
      <c r="B25" s="12">
        <f t="shared" ref="B25:M25" si="16">7891.8*0.6</f>
        <v>4735.08</v>
      </c>
      <c r="C25" s="12">
        <f t="shared" si="16"/>
        <v>4735.08</v>
      </c>
      <c r="D25" s="12">
        <f t="shared" si="16"/>
        <v>4735.08</v>
      </c>
      <c r="E25" s="12">
        <f t="shared" si="16"/>
        <v>4735.08</v>
      </c>
      <c r="F25" s="12">
        <f t="shared" si="16"/>
        <v>4735.08</v>
      </c>
      <c r="G25" s="12">
        <f t="shared" si="16"/>
        <v>4735.08</v>
      </c>
      <c r="H25" s="12">
        <f t="shared" si="16"/>
        <v>4735.08</v>
      </c>
      <c r="I25" s="12">
        <f t="shared" si="16"/>
        <v>4735.08</v>
      </c>
      <c r="J25" s="12">
        <f t="shared" si="16"/>
        <v>4735.08</v>
      </c>
      <c r="K25" s="12">
        <f t="shared" si="16"/>
        <v>4735.08</v>
      </c>
      <c r="L25" s="12">
        <f t="shared" si="16"/>
        <v>4735.08</v>
      </c>
      <c r="M25" s="12">
        <f t="shared" si="16"/>
        <v>4735.08</v>
      </c>
      <c r="N25" s="12">
        <f>SUM(B25:M25)</f>
        <v>56820.960000000014</v>
      </c>
    </row>
    <row r="26" spans="1:14" ht="22.5" customHeight="1" thickBot="1" x14ac:dyDescent="0.3">
      <c r="A26" s="8" t="s">
        <v>2</v>
      </c>
      <c r="B26" s="12">
        <f t="shared" ref="B26:M26" si="17">7891.8*0.17</f>
        <v>1341.6060000000002</v>
      </c>
      <c r="C26" s="12">
        <f t="shared" si="17"/>
        <v>1341.6060000000002</v>
      </c>
      <c r="D26" s="12">
        <f t="shared" si="17"/>
        <v>1341.6060000000002</v>
      </c>
      <c r="E26" s="12">
        <f t="shared" si="17"/>
        <v>1341.6060000000002</v>
      </c>
      <c r="F26" s="12">
        <f t="shared" si="17"/>
        <v>1341.6060000000002</v>
      </c>
      <c r="G26" s="12">
        <f t="shared" si="17"/>
        <v>1341.6060000000002</v>
      </c>
      <c r="H26" s="12">
        <f t="shared" si="17"/>
        <v>1341.6060000000002</v>
      </c>
      <c r="I26" s="12">
        <f t="shared" si="17"/>
        <v>1341.6060000000002</v>
      </c>
      <c r="J26" s="12">
        <f t="shared" si="17"/>
        <v>1341.6060000000002</v>
      </c>
      <c r="K26" s="12">
        <f t="shared" si="17"/>
        <v>1341.6060000000002</v>
      </c>
      <c r="L26" s="12">
        <f t="shared" si="17"/>
        <v>1341.6060000000002</v>
      </c>
      <c r="M26" s="12">
        <f t="shared" si="17"/>
        <v>1341.6060000000002</v>
      </c>
      <c r="N26" s="12">
        <f t="shared" ref="N26:N39" si="18">SUM(B26:M26)</f>
        <v>16099.271999999999</v>
      </c>
    </row>
    <row r="27" spans="1:14" ht="21" customHeight="1" thickBot="1" x14ac:dyDescent="0.3">
      <c r="A27" s="8" t="s">
        <v>3</v>
      </c>
      <c r="B27" s="12">
        <f>225398.02*2.3%</f>
        <v>5184.1544599999997</v>
      </c>
      <c r="C27" s="12">
        <f>212402.55*2.3%</f>
        <v>4885.2586499999998</v>
      </c>
      <c r="D27" s="12">
        <f>208417.72*2.3%</f>
        <v>4793.6075600000004</v>
      </c>
      <c r="E27" s="12">
        <f>213298.23*2.3%</f>
        <v>4905.8592900000003</v>
      </c>
      <c r="F27" s="12">
        <f>209048.6*2.3%</f>
        <v>4808.1178</v>
      </c>
      <c r="G27" s="12">
        <f>215210.96*2.3%</f>
        <v>4949.8520799999997</v>
      </c>
      <c r="H27" s="12">
        <f>224940.97*2.3%</f>
        <v>5173.6423100000002</v>
      </c>
      <c r="I27" s="12">
        <f>201133.75*2.3%</f>
        <v>4626.0762500000001</v>
      </c>
      <c r="J27" s="12">
        <f>201133.75*2.3%</f>
        <v>4626.0762500000001</v>
      </c>
      <c r="K27" s="12">
        <f>201133.75*2.3%</f>
        <v>4626.0762500000001</v>
      </c>
      <c r="L27" s="12">
        <f>230313.75*2.3%</f>
        <v>5297.2162499999995</v>
      </c>
      <c r="M27" s="12">
        <f>216924.04*2.3%</f>
        <v>4989.2529199999999</v>
      </c>
      <c r="N27" s="12">
        <f t="shared" si="18"/>
        <v>58865.19006999999</v>
      </c>
    </row>
    <row r="28" spans="1:14" ht="23.25" customHeight="1" thickBot="1" x14ac:dyDescent="0.3">
      <c r="A28" s="8" t="s">
        <v>4</v>
      </c>
      <c r="B28" s="20">
        <f>203104.17*3%</f>
        <v>6093.1251000000002</v>
      </c>
      <c r="C28" s="12">
        <f>240658.16*3%</f>
        <v>7219.7447999999995</v>
      </c>
      <c r="D28" s="19">
        <f>217931.16*3%</f>
        <v>6537.9348</v>
      </c>
      <c r="E28" s="20">
        <f>189556.17*3%</f>
        <v>5686.6851000000006</v>
      </c>
      <c r="F28" s="20">
        <f>193027.16*3%</f>
        <v>5790.8148000000001</v>
      </c>
      <c r="G28" s="20">
        <f>232214.85*3%</f>
        <v>6966.4454999999998</v>
      </c>
      <c r="H28" s="20">
        <f>238906.13*3%</f>
        <v>7167.1839</v>
      </c>
      <c r="I28" s="20">
        <f>227035.71*3%</f>
        <v>6811.0712999999996</v>
      </c>
      <c r="J28" s="20">
        <f>200020.28*3%</f>
        <v>6000.6084000000001</v>
      </c>
      <c r="K28" s="20">
        <f>202280.67*3%</f>
        <v>6068.4201000000003</v>
      </c>
      <c r="L28" s="20">
        <f>194544.52*3%</f>
        <v>5836.3355999999994</v>
      </c>
      <c r="M28" s="20">
        <f>227996.89*3%</f>
        <v>6839.9067000000005</v>
      </c>
      <c r="N28" s="12">
        <f t="shared" si="18"/>
        <v>77018.276100000017</v>
      </c>
    </row>
    <row r="29" spans="1:14" ht="23.25" customHeight="1" thickBot="1" x14ac:dyDescent="0.3">
      <c r="A29" s="8" t="s">
        <v>9</v>
      </c>
      <c r="B29" s="21">
        <f t="shared" ref="B29:M29" si="19">7891.8*8.5</f>
        <v>67080.3</v>
      </c>
      <c r="C29" s="21">
        <f t="shared" si="19"/>
        <v>67080.3</v>
      </c>
      <c r="D29" s="21">
        <f t="shared" si="19"/>
        <v>67080.3</v>
      </c>
      <c r="E29" s="21">
        <f t="shared" si="19"/>
        <v>67080.3</v>
      </c>
      <c r="F29" s="21">
        <f t="shared" si="19"/>
        <v>67080.3</v>
      </c>
      <c r="G29" s="21">
        <f t="shared" si="19"/>
        <v>67080.3</v>
      </c>
      <c r="H29" s="21">
        <f t="shared" si="19"/>
        <v>67080.3</v>
      </c>
      <c r="I29" s="21">
        <f t="shared" si="19"/>
        <v>67080.3</v>
      </c>
      <c r="J29" s="21">
        <f t="shared" si="19"/>
        <v>67080.3</v>
      </c>
      <c r="K29" s="21">
        <f t="shared" si="19"/>
        <v>67080.3</v>
      </c>
      <c r="L29" s="21">
        <f t="shared" si="19"/>
        <v>67080.3</v>
      </c>
      <c r="M29" s="21">
        <f t="shared" si="19"/>
        <v>67080.3</v>
      </c>
      <c r="N29" s="12">
        <f t="shared" si="18"/>
        <v>804963.60000000021</v>
      </c>
    </row>
    <row r="30" spans="1:14" ht="26.25" customHeight="1" thickBot="1" x14ac:dyDescent="0.3">
      <c r="A30" s="8" t="s">
        <v>18</v>
      </c>
      <c r="B30" s="12">
        <f>3789.63+0.02</f>
        <v>3789.65</v>
      </c>
      <c r="C30" s="12">
        <v>0</v>
      </c>
      <c r="D30" s="12">
        <v>0</v>
      </c>
      <c r="E30" s="12">
        <v>0</v>
      </c>
      <c r="F30" s="12">
        <v>5813.87</v>
      </c>
      <c r="G30" s="12">
        <v>11552.13</v>
      </c>
      <c r="H30" s="12">
        <v>0</v>
      </c>
      <c r="I30" s="12">
        <v>0</v>
      </c>
      <c r="J30" s="12">
        <v>0</v>
      </c>
      <c r="K30" s="12">
        <f>10687.36+1163.35</f>
        <v>11850.710000000001</v>
      </c>
      <c r="L30" s="12">
        <f>12335.62+1342.76</f>
        <v>13678.380000000001</v>
      </c>
      <c r="M30" s="12">
        <f>338.54+36.86</f>
        <v>375.40000000000003</v>
      </c>
      <c r="N30" s="12">
        <f t="shared" si="18"/>
        <v>47060.140000000007</v>
      </c>
    </row>
    <row r="31" spans="1:14" ht="26.25" customHeight="1" thickBot="1" x14ac:dyDescent="0.3">
      <c r="A31" s="8" t="s">
        <v>19</v>
      </c>
      <c r="B31" s="12">
        <v>981.37</v>
      </c>
      <c r="C31" s="12">
        <v>981.37</v>
      </c>
      <c r="D31" s="12">
        <v>981.37</v>
      </c>
      <c r="E31" s="12">
        <v>981.37</v>
      </c>
      <c r="F31" s="12">
        <v>981.37</v>
      </c>
      <c r="G31" s="12">
        <v>981.37</v>
      </c>
      <c r="H31" s="12">
        <v>1084.21</v>
      </c>
      <c r="I31" s="12">
        <v>1084.21</v>
      </c>
      <c r="J31" s="12">
        <v>1084.21</v>
      </c>
      <c r="K31" s="12">
        <v>1084.21</v>
      </c>
      <c r="L31" s="12">
        <v>1084.21</v>
      </c>
      <c r="M31" s="12">
        <v>1084.21</v>
      </c>
      <c r="N31" s="12">
        <f t="shared" si="18"/>
        <v>12393.48</v>
      </c>
    </row>
    <row r="32" spans="1:14" ht="26.25" customHeight="1" thickBot="1" x14ac:dyDescent="0.3">
      <c r="A32" s="8" t="s">
        <v>20</v>
      </c>
      <c r="B32" s="12">
        <v>7743.89</v>
      </c>
      <c r="C32" s="12">
        <v>7548.84</v>
      </c>
      <c r="D32" s="12">
        <v>12429.25</v>
      </c>
      <c r="E32" s="12">
        <v>8179.65</v>
      </c>
      <c r="F32" s="12">
        <v>8528.25</v>
      </c>
      <c r="G32" s="12">
        <v>12254.95</v>
      </c>
      <c r="H32" s="12">
        <v>0</v>
      </c>
      <c r="I32" s="12">
        <v>0</v>
      </c>
      <c r="J32" s="12">
        <v>0</v>
      </c>
      <c r="K32" s="12">
        <v>31107.53</v>
      </c>
      <c r="L32" s="12">
        <v>6921.84</v>
      </c>
      <c r="M32" s="12">
        <v>0</v>
      </c>
      <c r="N32" s="12">
        <f t="shared" si="18"/>
        <v>94714.2</v>
      </c>
    </row>
    <row r="33" spans="1:14" ht="23.25" customHeight="1" thickBot="1" x14ac:dyDescent="0.3">
      <c r="A33" s="8" t="s">
        <v>26</v>
      </c>
      <c r="B33" s="12">
        <v>1262.42</v>
      </c>
      <c r="C33" s="12">
        <v>1262.42</v>
      </c>
      <c r="D33" s="12">
        <v>1262.42</v>
      </c>
      <c r="E33" s="12">
        <v>1262.42</v>
      </c>
      <c r="F33" s="12">
        <v>1262.42</v>
      </c>
      <c r="G33" s="12">
        <v>1262.42</v>
      </c>
      <c r="H33" s="12">
        <v>729.26</v>
      </c>
      <c r="I33" s="12">
        <v>729.26</v>
      </c>
      <c r="J33" s="12">
        <v>729.26</v>
      </c>
      <c r="K33" s="12">
        <v>729.26</v>
      </c>
      <c r="L33" s="12">
        <v>729.26</v>
      </c>
      <c r="M33" s="12">
        <v>729.26</v>
      </c>
      <c r="N33" s="12">
        <f t="shared" si="18"/>
        <v>11950.080000000002</v>
      </c>
    </row>
    <row r="34" spans="1:14" ht="22.5" customHeight="1" thickBot="1" x14ac:dyDescent="0.3">
      <c r="A34" s="8" t="s">
        <v>6</v>
      </c>
      <c r="B34" s="12">
        <f t="shared" ref="B34:M34" si="20">7891.8*3.75</f>
        <v>29594.25</v>
      </c>
      <c r="C34" s="12">
        <f t="shared" si="20"/>
        <v>29594.25</v>
      </c>
      <c r="D34" s="12">
        <f t="shared" si="20"/>
        <v>29594.25</v>
      </c>
      <c r="E34" s="12">
        <f t="shared" si="20"/>
        <v>29594.25</v>
      </c>
      <c r="F34" s="12">
        <f t="shared" si="20"/>
        <v>29594.25</v>
      </c>
      <c r="G34" s="12">
        <f t="shared" si="20"/>
        <v>29594.25</v>
      </c>
      <c r="H34" s="12">
        <f t="shared" si="20"/>
        <v>29594.25</v>
      </c>
      <c r="I34" s="12">
        <f t="shared" si="20"/>
        <v>29594.25</v>
      </c>
      <c r="J34" s="12">
        <f t="shared" si="20"/>
        <v>29594.25</v>
      </c>
      <c r="K34" s="12">
        <f t="shared" si="20"/>
        <v>29594.25</v>
      </c>
      <c r="L34" s="12">
        <f t="shared" si="20"/>
        <v>29594.25</v>
      </c>
      <c r="M34" s="12">
        <f t="shared" si="20"/>
        <v>29594.25</v>
      </c>
      <c r="N34" s="12">
        <f t="shared" si="18"/>
        <v>355131</v>
      </c>
    </row>
    <row r="35" spans="1:14" ht="22.5" customHeight="1" thickBot="1" x14ac:dyDescent="0.3">
      <c r="A35" s="8" t="s">
        <v>25</v>
      </c>
      <c r="B35" s="12">
        <f>6954.1*4</f>
        <v>27816.400000000001</v>
      </c>
      <c r="C35" s="12">
        <f>6954.1*4</f>
        <v>27816.400000000001</v>
      </c>
      <c r="D35" s="12">
        <f>6954.1*4</f>
        <v>27816.400000000001</v>
      </c>
      <c r="E35" s="12">
        <f>7306.7*4</f>
        <v>29226.799999999999</v>
      </c>
      <c r="F35" s="12">
        <f>7306.7*4</f>
        <v>29226.799999999999</v>
      </c>
      <c r="G35" s="12">
        <f>4627.58*4</f>
        <v>18510.32</v>
      </c>
      <c r="H35" s="12">
        <f>0.01*4</f>
        <v>0.04</v>
      </c>
      <c r="I35" s="12">
        <f>7306.7*4</f>
        <v>29226.799999999999</v>
      </c>
      <c r="J35" s="12">
        <f>7306.7*4</f>
        <v>29226.799999999999</v>
      </c>
      <c r="K35" s="12">
        <f>7306.7*4</f>
        <v>29226.799999999999</v>
      </c>
      <c r="L35" s="12">
        <f>7306.7*4</f>
        <v>29226.799999999999</v>
      </c>
      <c r="M35" s="12">
        <f>7306.7*4</f>
        <v>29226.799999999999</v>
      </c>
      <c r="N35" s="12">
        <f t="shared" si="18"/>
        <v>306547.15999999997</v>
      </c>
    </row>
    <row r="36" spans="1:14" ht="22.5" customHeight="1" thickBot="1" x14ac:dyDescent="0.3">
      <c r="A36" s="8" t="s">
        <v>28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f t="shared" si="18"/>
        <v>0</v>
      </c>
    </row>
    <row r="37" spans="1:14" ht="21.75" customHeight="1" thickBot="1" x14ac:dyDescent="0.3">
      <c r="A37" s="8" t="s">
        <v>44</v>
      </c>
      <c r="B37" s="12">
        <v>0</v>
      </c>
      <c r="C37" s="12">
        <v>0</v>
      </c>
      <c r="D37" s="12">
        <v>0</v>
      </c>
      <c r="E37" s="12">
        <v>19408.330000000002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f t="shared" si="18"/>
        <v>19408.330000000002</v>
      </c>
    </row>
    <row r="38" spans="1:14" ht="21.75" customHeight="1" thickBot="1" x14ac:dyDescent="0.3">
      <c r="A38" s="8" t="s">
        <v>45</v>
      </c>
      <c r="B38" s="12">
        <v>0</v>
      </c>
      <c r="C38" s="12">
        <v>0</v>
      </c>
      <c r="D38" s="12">
        <v>0</v>
      </c>
      <c r="E38" s="12">
        <f>4026+7531.12</f>
        <v>11557.119999999999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f t="shared" si="18"/>
        <v>11557.119999999999</v>
      </c>
    </row>
    <row r="39" spans="1:14" ht="24.75" customHeight="1" thickBot="1" x14ac:dyDescent="0.3">
      <c r="A39" s="8" t="s">
        <v>23</v>
      </c>
      <c r="B39" s="12">
        <f>900</f>
        <v>900</v>
      </c>
      <c r="C39" s="12">
        <f>900</f>
        <v>900</v>
      </c>
      <c r="D39" s="12">
        <f>900</f>
        <v>900</v>
      </c>
      <c r="E39" s="12">
        <f>900</f>
        <v>900</v>
      </c>
      <c r="F39" s="12">
        <f>900</f>
        <v>900</v>
      </c>
      <c r="G39" s="12">
        <f>900</f>
        <v>900</v>
      </c>
      <c r="H39" s="12">
        <v>900</v>
      </c>
      <c r="I39" s="12">
        <v>900</v>
      </c>
      <c r="J39" s="12">
        <v>900</v>
      </c>
      <c r="K39" s="12">
        <v>900</v>
      </c>
      <c r="L39" s="12">
        <v>900</v>
      </c>
      <c r="M39" s="12">
        <v>900</v>
      </c>
      <c r="N39" s="12">
        <f t="shared" si="18"/>
        <v>10800</v>
      </c>
    </row>
    <row r="40" spans="1:14" ht="24" customHeight="1" thickBot="1" x14ac:dyDescent="0.3">
      <c r="A40" s="8" t="s">
        <v>10</v>
      </c>
      <c r="B40" s="12">
        <f>5360.5</f>
        <v>5360.5</v>
      </c>
      <c r="C40" s="12">
        <f>4575.1+3718.6+4512.9+3730.1+2192.3+1947.8+6634.7+15582.3+22876.8+684</f>
        <v>66454.600000000006</v>
      </c>
      <c r="D40" s="12">
        <f>7641.4+39314+1337.5+1298.5+903.8+2100.6+1764.9+105+500+500+2000+1000+2000+147934.35+33272.4</f>
        <v>241672.45</v>
      </c>
      <c r="E40" s="12">
        <f>3100</f>
        <v>3100</v>
      </c>
      <c r="F40" s="12">
        <f>14011.8</f>
        <v>14011.8</v>
      </c>
      <c r="G40" s="21">
        <f>3000+1000+2891.7+9761.9</f>
        <v>16653.599999999999</v>
      </c>
      <c r="H40" s="12">
        <f>1663.6+2184+16796.3</f>
        <v>20643.899999999998</v>
      </c>
      <c r="I40" s="12">
        <f>477.2+105</f>
        <v>582.20000000000005</v>
      </c>
      <c r="J40" s="12">
        <f>477.2+1019</f>
        <v>1496.2</v>
      </c>
      <c r="K40" s="12">
        <f>2362.3+105+8310.9+6394.7</f>
        <v>17172.900000000001</v>
      </c>
      <c r="L40" s="12">
        <f>105+3500</f>
        <v>3605</v>
      </c>
      <c r="M40" s="12">
        <f>6375+98280+75600+1212.2</f>
        <v>181467.2</v>
      </c>
      <c r="N40" s="12">
        <f>SUM(B40:M40)</f>
        <v>572220.35000000009</v>
      </c>
    </row>
    <row r="41" spans="1:14" ht="22.5" customHeight="1" thickBot="1" x14ac:dyDescent="0.3">
      <c r="A41" s="4" t="s">
        <v>21</v>
      </c>
      <c r="B41" s="11">
        <f t="shared" ref="B41:M41" si="21">SUM(B25:B40)</f>
        <v>161882.74555999998</v>
      </c>
      <c r="C41" s="11">
        <f t="shared" si="21"/>
        <v>219819.86945</v>
      </c>
      <c r="D41" s="11">
        <f t="shared" si="21"/>
        <v>399144.66836000001</v>
      </c>
      <c r="E41" s="11">
        <f t="shared" si="21"/>
        <v>187959.47038999997</v>
      </c>
      <c r="F41" s="11">
        <f t="shared" si="21"/>
        <v>174074.67859999998</v>
      </c>
      <c r="G41" s="11">
        <f t="shared" si="21"/>
        <v>176782.32358</v>
      </c>
      <c r="H41" s="11">
        <f t="shared" si="21"/>
        <v>138449.47221000001</v>
      </c>
      <c r="I41" s="11">
        <f t="shared" si="21"/>
        <v>146710.85355</v>
      </c>
      <c r="J41" s="11">
        <f t="shared" si="21"/>
        <v>146814.39065000002</v>
      </c>
      <c r="K41" s="11">
        <f t="shared" si="21"/>
        <v>205517.14235000001</v>
      </c>
      <c r="L41" s="11">
        <f t="shared" si="21"/>
        <v>170030.27784999998</v>
      </c>
      <c r="M41" s="11">
        <f t="shared" si="21"/>
        <v>328363.26561999996</v>
      </c>
      <c r="N41" s="11">
        <f>SUM(B41:M41)</f>
        <v>2455549.1581699997</v>
      </c>
    </row>
    <row r="42" spans="1:14" ht="23.25" customHeight="1" thickBot="1" x14ac:dyDescent="0.3">
      <c r="A42" s="5" t="s">
        <v>5</v>
      </c>
      <c r="B42" s="16">
        <f t="shared" ref="B42:N42" si="22">B15-B41</f>
        <v>44021.424440000061</v>
      </c>
      <c r="C42" s="16">
        <f t="shared" si="22"/>
        <v>21838.290550000034</v>
      </c>
      <c r="D42" s="16">
        <f t="shared" si="22"/>
        <v>-181113.50836000001</v>
      </c>
      <c r="E42" s="16">
        <f t="shared" si="22"/>
        <v>3196.6996100000397</v>
      </c>
      <c r="F42" s="16">
        <f t="shared" si="22"/>
        <v>29552.481400000019</v>
      </c>
      <c r="G42" s="16">
        <f t="shared" si="22"/>
        <v>56432.52641999998</v>
      </c>
      <c r="H42" s="16">
        <f t="shared" si="22"/>
        <v>100556.65779000003</v>
      </c>
      <c r="I42" s="16">
        <f t="shared" si="22"/>
        <v>82224.85645000005</v>
      </c>
      <c r="J42" s="16">
        <f t="shared" si="22"/>
        <v>54205.889349999983</v>
      </c>
      <c r="K42" s="16">
        <f t="shared" si="22"/>
        <v>-3136.4723499999673</v>
      </c>
      <c r="L42" s="16">
        <f t="shared" si="22"/>
        <v>28214.242150000035</v>
      </c>
      <c r="M42" s="16">
        <f t="shared" si="22"/>
        <v>-96066.375619999948</v>
      </c>
      <c r="N42" s="16">
        <f t="shared" si="22"/>
        <v>139926.71183000039</v>
      </c>
    </row>
    <row r="43" spans="1:14" ht="23.25" customHeight="1" thickBot="1" x14ac:dyDescent="0.3">
      <c r="A43" s="5" t="s">
        <v>7</v>
      </c>
      <c r="B43" s="14">
        <f t="shared" ref="B43:N43" si="23">B4+B42</f>
        <v>-334346.4355599999</v>
      </c>
      <c r="C43" s="14">
        <f t="shared" si="23"/>
        <v>-312508.14500999986</v>
      </c>
      <c r="D43" s="14">
        <f t="shared" si="23"/>
        <v>-493621.65336999984</v>
      </c>
      <c r="E43" s="14">
        <f t="shared" si="23"/>
        <v>-490424.95375999983</v>
      </c>
      <c r="F43" s="14">
        <f t="shared" si="23"/>
        <v>-460872.47235999978</v>
      </c>
      <c r="G43" s="14">
        <f t="shared" si="23"/>
        <v>-404439.94593999977</v>
      </c>
      <c r="H43" s="14">
        <f t="shared" si="23"/>
        <v>-303883.28814999975</v>
      </c>
      <c r="I43" s="14">
        <f t="shared" si="23"/>
        <v>-221658.4316999997</v>
      </c>
      <c r="J43" s="14">
        <f t="shared" si="23"/>
        <v>-167452.54234999971</v>
      </c>
      <c r="K43" s="14">
        <f t="shared" si="23"/>
        <v>-170589.01469999968</v>
      </c>
      <c r="L43" s="14">
        <f t="shared" si="23"/>
        <v>-142374.77254999964</v>
      </c>
      <c r="M43" s="14">
        <f t="shared" si="23"/>
        <v>-238441.14816999959</v>
      </c>
      <c r="N43" s="14">
        <f t="shared" si="23"/>
        <v>-238441.14816999959</v>
      </c>
    </row>
    <row r="44" spans="1:14" ht="23.25" customHeight="1" thickBot="1" x14ac:dyDescent="0.3">
      <c r="A44" s="5" t="s">
        <v>46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11816.18</v>
      </c>
      <c r="J44" s="12">
        <v>0</v>
      </c>
      <c r="K44" s="12">
        <v>0</v>
      </c>
      <c r="L44" s="12">
        <v>0</v>
      </c>
      <c r="M44" s="12">
        <v>0</v>
      </c>
      <c r="N44" s="12">
        <f>SUM(B44:M44)</f>
        <v>11816.18</v>
      </c>
    </row>
    <row r="45" spans="1:14" ht="27" customHeight="1" thickBot="1" x14ac:dyDescent="0.3">
      <c r="A45" s="7" t="s">
        <v>11</v>
      </c>
      <c r="B45" s="18">
        <f>B5+B15-B6</f>
        <v>-887025.38</v>
      </c>
      <c r="C45" s="18">
        <f t="shared" ref="C45:H45" si="24">C5+C15-C6</f>
        <v>-859669.77</v>
      </c>
      <c r="D45" s="18">
        <f t="shared" si="24"/>
        <v>-851956.33</v>
      </c>
      <c r="E45" s="18">
        <f>E5+E15-E6</f>
        <v>-875998.3899999999</v>
      </c>
      <c r="F45" s="18">
        <f t="shared" si="24"/>
        <v>-883319.82999999984</v>
      </c>
      <c r="G45" s="18">
        <f t="shared" si="24"/>
        <v>-867215.93999999983</v>
      </c>
      <c r="H45" s="18">
        <f t="shared" si="24"/>
        <v>-855050.7799999998</v>
      </c>
      <c r="I45" s="18">
        <f>I5+I15-I6+I44</f>
        <v>-817332.63999999966</v>
      </c>
      <c r="J45" s="18">
        <f t="shared" ref="J45:M45" si="25">J5+J15-J6+J44</f>
        <v>-819346.10999999964</v>
      </c>
      <c r="K45" s="18">
        <f t="shared" si="25"/>
        <v>-819999.18999999959</v>
      </c>
      <c r="L45" s="18">
        <f t="shared" si="25"/>
        <v>-853968.41999999958</v>
      </c>
      <c r="M45" s="18">
        <f t="shared" si="25"/>
        <v>-840495.5699999996</v>
      </c>
      <c r="N45" s="18">
        <f>N5+N15-N6+N44</f>
        <v>-840495.56999999972</v>
      </c>
    </row>
  </sheetData>
  <mergeCells count="2">
    <mergeCell ref="A1:N1"/>
    <mergeCell ref="A2:N2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2025-03-06T05:02:00Z</cp:lastPrinted>
  <dcterms:created xsi:type="dcterms:W3CDTF">2011-06-06T03:25:48Z</dcterms:created>
  <dcterms:modified xsi:type="dcterms:W3CDTF">2025-03-06T05:07:58Z</dcterms:modified>
</cp:coreProperties>
</file>