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4" sheetId="1" r:id="rId1"/>
  </sheets>
  <calcPr calcId="144525" refMode="R1C1"/>
</workbook>
</file>

<file path=xl/calcChain.xml><?xml version="1.0" encoding="utf-8"?>
<calcChain xmlns="http://schemas.openxmlformats.org/spreadsheetml/2006/main">
  <c r="M40" i="1" l="1"/>
  <c r="M28" i="1" l="1"/>
  <c r="M38" i="1" l="1"/>
  <c r="L38" i="1"/>
  <c r="K38" i="1" l="1"/>
  <c r="L40" i="1" l="1"/>
  <c r="M35" i="1" l="1"/>
  <c r="L35" i="1"/>
  <c r="K35" i="1"/>
  <c r="K40" i="1" l="1"/>
  <c r="M27" i="1" l="1"/>
  <c r="L28" i="1" l="1"/>
  <c r="L27" i="1"/>
  <c r="K28" i="1" l="1"/>
  <c r="K27" i="1"/>
  <c r="K34" i="1" l="1"/>
  <c r="L34" i="1"/>
  <c r="M34" i="1"/>
  <c r="K29" i="1"/>
  <c r="L29" i="1"/>
  <c r="M29" i="1"/>
  <c r="K26" i="1"/>
  <c r="L26" i="1"/>
  <c r="M26" i="1"/>
  <c r="K25" i="1"/>
  <c r="L25" i="1"/>
  <c r="M25" i="1"/>
  <c r="J40" i="1" l="1"/>
  <c r="J38" i="1" l="1"/>
  <c r="I38" i="1"/>
  <c r="H38" i="1" l="1"/>
  <c r="I40" i="1" l="1"/>
  <c r="J35" i="1" l="1"/>
  <c r="I35" i="1" l="1"/>
  <c r="H35" i="1" l="1"/>
  <c r="H40" i="1" l="1"/>
  <c r="J28" i="1" l="1"/>
  <c r="J27" i="1"/>
  <c r="I28" i="1" l="1"/>
  <c r="I27" i="1"/>
  <c r="H34" i="1" l="1"/>
  <c r="I34" i="1"/>
  <c r="J34" i="1"/>
  <c r="H28" i="1"/>
  <c r="H27" i="1"/>
  <c r="H29" i="1" l="1"/>
  <c r="I29" i="1"/>
  <c r="J29" i="1"/>
  <c r="H26" i="1"/>
  <c r="I26" i="1"/>
  <c r="J26" i="1"/>
  <c r="H25" i="1"/>
  <c r="I25" i="1"/>
  <c r="J25" i="1"/>
  <c r="G38" i="1" l="1"/>
  <c r="F38" i="1"/>
  <c r="E38" i="1" l="1"/>
  <c r="G40" i="1" l="1"/>
  <c r="F40" i="1" l="1"/>
  <c r="G35" i="1" l="1"/>
  <c r="F35" i="1" l="1"/>
  <c r="E35" i="1"/>
  <c r="G28" i="1" l="1"/>
  <c r="G27" i="1"/>
  <c r="E40" i="1" l="1"/>
  <c r="F28" i="1" l="1"/>
  <c r="F27" i="1"/>
  <c r="E28" i="1" l="1"/>
  <c r="E27" i="1"/>
  <c r="E34" i="1" l="1"/>
  <c r="F34" i="1"/>
  <c r="G34" i="1"/>
  <c r="E29" i="1"/>
  <c r="F29" i="1"/>
  <c r="G29" i="1"/>
  <c r="E26" i="1"/>
  <c r="F26" i="1"/>
  <c r="G26" i="1"/>
  <c r="E25" i="1"/>
  <c r="F25" i="1"/>
  <c r="G25" i="1"/>
  <c r="D38" i="1" l="1"/>
  <c r="C38" i="1"/>
  <c r="C40" i="1" l="1"/>
  <c r="D35" i="1" l="1"/>
  <c r="C35" i="1"/>
  <c r="C39" i="1" l="1"/>
  <c r="B39" i="1"/>
  <c r="D28" i="1" l="1"/>
  <c r="D27" i="1"/>
  <c r="B40" i="1" l="1"/>
  <c r="C28" i="1" l="1"/>
  <c r="C27" i="1"/>
  <c r="B28" i="1" l="1"/>
  <c r="B27" i="1"/>
  <c r="C34" i="1" l="1"/>
  <c r="D34" i="1"/>
  <c r="C29" i="1"/>
  <c r="D29" i="1"/>
  <c r="C26" i="1"/>
  <c r="D26" i="1"/>
  <c r="C25" i="1"/>
  <c r="D25" i="1"/>
  <c r="B34" i="1"/>
  <c r="B29" i="1"/>
  <c r="B26" i="1"/>
  <c r="B25" i="1"/>
  <c r="B35" i="1" l="1"/>
  <c r="N38" i="1" l="1"/>
  <c r="N8" i="1" l="1"/>
  <c r="N17" i="1"/>
  <c r="N18" i="1" l="1"/>
  <c r="N19" i="1"/>
  <c r="N20" i="1"/>
  <c r="N21" i="1"/>
  <c r="N22" i="1"/>
  <c r="N23" i="1"/>
  <c r="N31" i="1"/>
  <c r="N32" i="1"/>
  <c r="N33" i="1"/>
  <c r="N35" i="1"/>
  <c r="N36" i="1"/>
  <c r="N37" i="1"/>
  <c r="N39" i="1"/>
  <c r="N30" i="1"/>
  <c r="N9" i="1" l="1"/>
  <c r="N10" i="1"/>
  <c r="N11" i="1"/>
  <c r="N12" i="1"/>
  <c r="N13" i="1"/>
  <c r="N14" i="1"/>
  <c r="N40" i="1" l="1"/>
  <c r="N29" i="1" l="1"/>
  <c r="N28" i="1" l="1"/>
  <c r="N16" i="1"/>
  <c r="N27" i="1"/>
  <c r="N7" i="1"/>
  <c r="N5" i="1" l="1"/>
  <c r="N4" i="1"/>
  <c r="C15" i="1" l="1"/>
  <c r="C41" i="1" s="1"/>
  <c r="C42" i="1" s="1"/>
  <c r="D15" i="1"/>
  <c r="D41" i="1" s="1"/>
  <c r="D42" i="1" s="1"/>
  <c r="B15" i="1"/>
  <c r="C6" i="1"/>
  <c r="D6" i="1"/>
  <c r="B6" i="1"/>
  <c r="N34" i="1"/>
  <c r="N26" i="1"/>
  <c r="B44" i="1" l="1"/>
  <c r="C5" i="1" s="1"/>
  <c r="B41" i="1"/>
  <c r="B42" i="1" s="1"/>
  <c r="B43" i="1" s="1"/>
  <c r="C4" i="1" s="1"/>
  <c r="C43" i="1" s="1"/>
  <c r="D4" i="1" s="1"/>
  <c r="C44" i="1" l="1"/>
  <c r="D5" i="1" s="1"/>
  <c r="D44" i="1" s="1"/>
  <c r="E5" i="1" s="1"/>
  <c r="D43" i="1"/>
  <c r="E4" i="1" s="1"/>
  <c r="E15" i="1" l="1"/>
  <c r="F6" i="1"/>
  <c r="G6" i="1"/>
  <c r="E6" i="1"/>
  <c r="E41" i="1" l="1"/>
  <c r="E44" i="1"/>
  <c r="F5" i="1" s="1"/>
  <c r="F15" i="1"/>
  <c r="G15" i="1"/>
  <c r="H15" i="1"/>
  <c r="I15" i="1"/>
  <c r="J15" i="1"/>
  <c r="K15" i="1"/>
  <c r="L15" i="1"/>
  <c r="M15" i="1"/>
  <c r="G41" i="1" l="1"/>
  <c r="G42" i="1" s="1"/>
  <c r="N15" i="1"/>
  <c r="E42" i="1"/>
  <c r="N25" i="1"/>
  <c r="E43" i="1" l="1"/>
  <c r="F4" i="1" s="1"/>
  <c r="M41" i="1"/>
  <c r="M42" i="1" s="1"/>
  <c r="L6" i="1"/>
  <c r="L41" i="1"/>
  <c r="L42" i="1" s="1"/>
  <c r="K6" i="1"/>
  <c r="M6" i="1"/>
  <c r="K41" i="1" l="1"/>
  <c r="K42" i="1" s="1"/>
  <c r="J6" i="1"/>
  <c r="I6" i="1"/>
  <c r="H41" i="1"/>
  <c r="H42" i="1" s="1"/>
  <c r="H6" i="1"/>
  <c r="N6" i="1" l="1"/>
  <c r="N44" i="1" s="1"/>
  <c r="I41" i="1"/>
  <c r="I42" i="1" s="1"/>
  <c r="J41" i="1"/>
  <c r="J42" i="1" s="1"/>
  <c r="F41" i="1" l="1"/>
  <c r="F42" i="1" l="1"/>
  <c r="F43" i="1" s="1"/>
  <c r="G4" i="1" s="1"/>
  <c r="N41" i="1"/>
  <c r="F44" i="1"/>
  <c r="G5" i="1" s="1"/>
  <c r="N42" i="1" l="1"/>
  <c r="N43" i="1" s="1"/>
  <c r="G44" i="1" l="1"/>
  <c r="H5" i="1" s="1"/>
  <c r="H44" i="1" l="1"/>
  <c r="I5" i="1" s="1"/>
  <c r="G43" i="1" l="1"/>
  <c r="H4" i="1" s="1"/>
  <c r="I44" i="1" l="1"/>
  <c r="J5" i="1" s="1"/>
  <c r="H43" i="1"/>
  <c r="I4" i="1" s="1"/>
  <c r="J44" i="1" l="1"/>
  <c r="K5" i="1" s="1"/>
  <c r="I43" i="1" l="1"/>
  <c r="J4" i="1" s="1"/>
  <c r="K44" i="1"/>
  <c r="L5" i="1" s="1"/>
  <c r="J43" i="1" l="1"/>
  <c r="K4" i="1" s="1"/>
  <c r="L44" i="1"/>
  <c r="M5" i="1" s="1"/>
  <c r="M44" i="1" l="1"/>
  <c r="K43" i="1"/>
  <c r="L4" i="1" s="1"/>
  <c r="L43" i="1" l="1"/>
  <c r="M4" i="1" s="1"/>
  <c r="M43" i="1" l="1"/>
</calcChain>
</file>

<file path=xl/sharedStrings.xml><?xml version="1.0" encoding="utf-8"?>
<sst xmlns="http://schemas.openxmlformats.org/spreadsheetml/2006/main" count="57" uniqueCount="47">
  <si>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</si>
  <si>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</si>
  <si>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</si>
  <si>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</si>
  <si>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</si>
  <si>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</si>
  <si>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</si>
  <si>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</si>
  <si>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</si>
  <si>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</si>
  <si>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</si>
  <si>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</si>
  <si>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</si>
  <si>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</si>
  <si>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</si>
  <si>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</si>
  <si>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</si>
  <si>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</si>
  <si>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</si>
  <si>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</si>
  <si>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</si>
  <si>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</si>
  <si>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</si>
  <si>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Доход от использования общего имущества</t>
  </si>
  <si>
    <t>Комплексное обслуживание лифтов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</si>
  <si>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</si>
  <si>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</si>
  <si>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</si>
  <si>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Содержание жилья и текущий ремонт,  ОПУ</t>
  </si>
  <si>
    <t>Тех.обслуживание приборов учета</t>
  </si>
  <si>
    <t>Содержание жилья и текущий ремонт /нежилые</t>
  </si>
  <si>
    <t>Январь 2024г.</t>
  </si>
  <si>
    <t>Февраль 2024г.</t>
  </si>
  <si>
    <t>Март 2024г.</t>
  </si>
  <si>
    <t>Апрель 2024г.</t>
  </si>
  <si>
    <t>Май 2024г.</t>
  </si>
  <si>
    <t>Июнь 2024г.</t>
  </si>
  <si>
    <t>Июль 2024г.</t>
  </si>
  <si>
    <t>Август 2024г.</t>
  </si>
  <si>
    <t>Сентябрь 2024г.</t>
  </si>
  <si>
    <t>Октябрь 2024г.</t>
  </si>
  <si>
    <t>Ноябрь 2024г.</t>
  </si>
  <si>
    <t>Декабрь 2024г.</t>
  </si>
  <si>
    <t>Всего:                       за  2024г.</t>
  </si>
  <si>
    <t>Вознаграждение совета МКД</t>
  </si>
  <si>
    <t>Налоги с вознаграждения совета МКД</t>
  </si>
  <si>
    <t xml:space="preserve">       ОТЧЕТ по дому Ударная, 83/1 за период с 01.01.2024г. по 31.12.2024г.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</si>
</sst>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tabSelected="1" topLeftCell="A31" zoomScale="75" workbookViewId="0">
      <selection activeCell="A31" sqref="A1:I1048576"/>
    </sheetView>
  </sheetViews>
  <sheetFormatPr defaultRowHeight="13.2" x14ac:dyDescent="0.25"/>
  <cols>
    <col min="1" max="1" width="58.6640625" customWidth="1"/>
    <col min="2" max="2" width="14.33203125" customWidth="1"/>
    <col min="3" max="6" width="14.109375" customWidth="1"/>
    <col min="7" max="7" width="16.77734375" customWidth="1"/>
    <col min="8" max="8" width="15" customWidth="1"/>
    <col min="9" max="9" width="14.88671875" customWidth="1"/>
    <col min="10" max="10" width="15.21875" customWidth="1"/>
    <col min="11" max="11" width="14.77734375" customWidth="1"/>
    <col min="12" max="12" width="15.5546875" customWidth="1"/>
    <col min="13" max="13" width="15.33203125" customWidth="1"/>
    <col min="14" max="14" width="15.88671875" customWidth="1"/>
  </cols>
  <sheetData>
    <row r="1" spans="1:20" ht="20.399999999999999" x14ac:dyDescent="0.3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</row>
    <row r="4" spans="1:20" ht="23.25" customHeight="1" thickBot="1" x14ac:dyDescent="0.3">
      <c r="A4" s="3" t="s">
        <v>14</v>
      </c>
      <c r="B4" s="10">
        <v>45341.83</v>
      </c>
      <c r="C4" s="10">
        <f>B43</f>
        <v>65711.100449999998</v>
      </c>
      <c r="D4" s="10">
        <f t="shared" ref="D4:M5" si="0">C43</f>
        <v>84070.774889999986</v>
      </c>
      <c r="E4" s="10">
        <f t="shared" si="0"/>
        <v>104354.02038999998</v>
      </c>
      <c r="F4" s="10">
        <f t="shared" si="0"/>
        <v>-91617.418049999993</v>
      </c>
      <c r="G4" s="10">
        <f t="shared" si="0"/>
        <v>-69181.379799999995</v>
      </c>
      <c r="H4" s="10">
        <f t="shared" si="0"/>
        <v>-67187.291849999994</v>
      </c>
      <c r="I4" s="10">
        <f t="shared" si="0"/>
        <v>-52354.90135</v>
      </c>
      <c r="J4" s="10">
        <f t="shared" si="0"/>
        <v>-24841.01036</v>
      </c>
      <c r="K4" s="10">
        <f t="shared" si="0"/>
        <v>-27320.923480000012</v>
      </c>
      <c r="L4" s="10">
        <f t="shared" si="0"/>
        <v>-20732.106310000017</v>
      </c>
      <c r="M4" s="10">
        <f t="shared" si="0"/>
        <v>-2272.3286800000351</v>
      </c>
      <c r="N4" s="10">
        <f>B4</f>
        <v>45341.83</v>
      </c>
    </row>
    <row r="5" spans="1:20" ht="21" customHeight="1" thickBot="1" x14ac:dyDescent="0.3">
      <c r="A5" s="3" t="s">
        <v>13</v>
      </c>
      <c r="B5" s="10">
        <v>-190283.54</v>
      </c>
      <c r="C5" s="10">
        <f t="shared" ref="C5" si="1">B44</f>
        <v>-195628.7</v>
      </c>
      <c r="D5" s="10">
        <f t="shared" si="0"/>
        <v>-194751.63</v>
      </c>
      <c r="E5" s="10">
        <f t="shared" si="0"/>
        <v>-204170.12000000002</v>
      </c>
      <c r="F5" s="10">
        <f t="shared" si="0"/>
        <v>-207554.48000000004</v>
      </c>
      <c r="G5" s="10">
        <f t="shared" si="0"/>
        <v>-207566.38000000003</v>
      </c>
      <c r="H5" s="10">
        <f t="shared" si="0"/>
        <v>-223848.56000000006</v>
      </c>
      <c r="I5" s="10">
        <f t="shared" si="0"/>
        <v>-222702.15000000008</v>
      </c>
      <c r="J5" s="10">
        <f t="shared" si="0"/>
        <v>-221861.31000000008</v>
      </c>
      <c r="K5" s="10">
        <f t="shared" si="0"/>
        <v>-231206.90000000011</v>
      </c>
      <c r="L5" s="10">
        <f t="shared" si="0"/>
        <v>-230198.48000000013</v>
      </c>
      <c r="M5" s="10">
        <f t="shared" si="0"/>
        <v>-237960.59000000014</v>
      </c>
      <c r="N5" s="10">
        <f>B5</f>
        <v>-190283.54</v>
      </c>
    </row>
    <row r="6" spans="1:20" ht="20.25" customHeight="1" thickBot="1" x14ac:dyDescent="0.3">
      <c r="A6" s="4" t="s">
        <v>12</v>
      </c>
      <c r="B6" s="11">
        <f t="shared" ref="B6:M6" si="2">SUM(B7:B14)</f>
        <v>107156.95000000001</v>
      </c>
      <c r="C6" s="11">
        <f t="shared" si="2"/>
        <v>103168.82</v>
      </c>
      <c r="D6" s="11">
        <f t="shared" si="2"/>
        <v>108414.40000000001</v>
      </c>
      <c r="E6" s="11">
        <f t="shared" si="2"/>
        <v>107103.08</v>
      </c>
      <c r="F6" s="11">
        <f t="shared" si="2"/>
        <v>105571.75</v>
      </c>
      <c r="G6" s="11">
        <f t="shared" si="2"/>
        <v>112129.65000000001</v>
      </c>
      <c r="H6" s="11">
        <f t="shared" si="2"/>
        <v>106090.40000000001</v>
      </c>
      <c r="I6" s="11">
        <f t="shared" si="2"/>
        <v>107689.77</v>
      </c>
      <c r="J6" s="11">
        <f t="shared" si="2"/>
        <v>107805.94000000002</v>
      </c>
      <c r="K6" s="11">
        <f t="shared" si="2"/>
        <v>105762.91000000002</v>
      </c>
      <c r="L6" s="11">
        <f t="shared" si="2"/>
        <v>108173.39000000001</v>
      </c>
      <c r="M6" s="11">
        <f t="shared" si="2"/>
        <v>104630.65000000001</v>
      </c>
      <c r="N6" s="11">
        <f>SUM(B6:M6)</f>
        <v>1283697.71</v>
      </c>
    </row>
    <row r="7" spans="1:20" ht="24.75" customHeight="1" thickBot="1" x14ac:dyDescent="0.3">
      <c r="A7" s="8" t="s">
        <v>28</v>
      </c>
      <c r="B7" s="12">
        <v>98548.82</v>
      </c>
      <c r="C7" s="12">
        <v>98548.82</v>
      </c>
      <c r="D7" s="12">
        <v>98548.82</v>
      </c>
      <c r="E7" s="12">
        <v>98548.82</v>
      </c>
      <c r="F7" s="12">
        <v>98548.82</v>
      </c>
      <c r="G7" s="12">
        <v>98548.82</v>
      </c>
      <c r="H7" s="12">
        <v>98548.82</v>
      </c>
      <c r="I7" s="12">
        <v>98548.82</v>
      </c>
      <c r="J7" s="12">
        <v>98548.82</v>
      </c>
      <c r="K7" s="12">
        <v>98548.82</v>
      </c>
      <c r="L7" s="12">
        <v>98548.82</v>
      </c>
      <c r="M7" s="12">
        <v>98548.82</v>
      </c>
      <c r="N7" s="12">
        <f>SUM(B7:M7)</f>
        <v>1182585.8400000003</v>
      </c>
    </row>
    <row r="8" spans="1:20" ht="24.75" hidden="1" customHeight="1" thickBot="1" x14ac:dyDescent="0.3">
      <c r="A8" s="8" t="s">
        <v>30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>
        <f>SUM(B8:M8)</f>
        <v>0</v>
      </c>
    </row>
    <row r="9" spans="1:20" ht="24.75" customHeight="1" thickBot="1" x14ac:dyDescent="0.3">
      <c r="A9" s="8" t="s">
        <v>15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-96.37</v>
      </c>
      <c r="M9" s="12">
        <v>0</v>
      </c>
      <c r="N9" s="12">
        <f t="shared" ref="N9:N14" si="3">SUM(B9:M9)</f>
        <v>-96.37</v>
      </c>
    </row>
    <row r="10" spans="1:20" ht="21.75" customHeight="1" thickBot="1" x14ac:dyDescent="0.3">
      <c r="A10" s="8" t="s">
        <v>16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324.77</v>
      </c>
      <c r="M10" s="12">
        <v>0</v>
      </c>
      <c r="N10" s="12">
        <f t="shared" si="3"/>
        <v>324.77</v>
      </c>
    </row>
    <row r="11" spans="1:20" ht="22.5" customHeight="1" thickBot="1" x14ac:dyDescent="0.3">
      <c r="A11" s="8" t="s">
        <v>17</v>
      </c>
      <c r="B11" s="12">
        <v>3988.13</v>
      </c>
      <c r="C11" s="12">
        <v>0</v>
      </c>
      <c r="D11" s="12">
        <v>5245.58</v>
      </c>
      <c r="E11" s="12">
        <v>3934.26</v>
      </c>
      <c r="F11" s="12">
        <v>2402.9299999999998</v>
      </c>
      <c r="G11" s="12">
        <v>4423.99</v>
      </c>
      <c r="H11" s="12">
        <v>2921.58</v>
      </c>
      <c r="I11" s="12">
        <v>4520.95</v>
      </c>
      <c r="J11" s="12">
        <v>3981.88</v>
      </c>
      <c r="K11" s="12">
        <v>1938.85</v>
      </c>
      <c r="L11" s="12">
        <v>4448.4799999999996</v>
      </c>
      <c r="M11" s="12">
        <v>3216.24</v>
      </c>
      <c r="N11" s="12">
        <f t="shared" si="3"/>
        <v>41022.870000000003</v>
      </c>
    </row>
    <row r="12" spans="1:20" ht="22.5" customHeight="1" thickBot="1" x14ac:dyDescent="0.3">
      <c r="A12" s="8" t="s">
        <v>25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4536.84</v>
      </c>
      <c r="H12" s="12">
        <v>0</v>
      </c>
      <c r="I12" s="12">
        <v>0</v>
      </c>
      <c r="J12" s="12">
        <v>655.24</v>
      </c>
      <c r="K12" s="12">
        <v>655.24</v>
      </c>
      <c r="L12" s="12">
        <v>327.69</v>
      </c>
      <c r="M12" s="12">
        <v>-1754.41</v>
      </c>
      <c r="N12" s="12">
        <f t="shared" si="3"/>
        <v>4420.5999999999995</v>
      </c>
    </row>
    <row r="13" spans="1:20" ht="22.5" customHeight="1" thickBot="1" x14ac:dyDescent="0.3">
      <c r="A13" s="8" t="s">
        <v>44</v>
      </c>
      <c r="B13" s="12">
        <v>4320</v>
      </c>
      <c r="C13" s="12">
        <v>4320</v>
      </c>
      <c r="D13" s="12">
        <v>4320</v>
      </c>
      <c r="E13" s="12">
        <v>4320</v>
      </c>
      <c r="F13" s="12">
        <v>4320</v>
      </c>
      <c r="G13" s="12">
        <v>4320</v>
      </c>
      <c r="H13" s="12">
        <v>4320</v>
      </c>
      <c r="I13" s="12">
        <v>4320</v>
      </c>
      <c r="J13" s="12">
        <v>4320</v>
      </c>
      <c r="K13" s="12">
        <v>4320</v>
      </c>
      <c r="L13" s="12">
        <v>4320</v>
      </c>
      <c r="M13" s="12">
        <v>4320</v>
      </c>
      <c r="N13" s="12">
        <f t="shared" si="3"/>
        <v>51840</v>
      </c>
    </row>
    <row r="14" spans="1:20" ht="22.5" customHeight="1" thickBot="1" x14ac:dyDescent="0.3">
      <c r="A14" s="8" t="s">
        <v>23</v>
      </c>
      <c r="B14" s="12">
        <v>300</v>
      </c>
      <c r="C14" s="12">
        <v>300</v>
      </c>
      <c r="D14" s="12">
        <v>300</v>
      </c>
      <c r="E14" s="12">
        <v>300</v>
      </c>
      <c r="F14" s="12">
        <v>300</v>
      </c>
      <c r="G14" s="12">
        <v>300</v>
      </c>
      <c r="H14" s="12">
        <v>300</v>
      </c>
      <c r="I14" s="12">
        <v>300</v>
      </c>
      <c r="J14" s="12">
        <v>300</v>
      </c>
      <c r="K14" s="12">
        <v>300</v>
      </c>
      <c r="L14" s="12">
        <v>300</v>
      </c>
      <c r="M14" s="12">
        <v>300</v>
      </c>
      <c r="N14" s="12">
        <f t="shared" si="3"/>
        <v>3600</v>
      </c>
    </row>
    <row r="15" spans="1:20" ht="20.25" customHeight="1" thickBot="1" x14ac:dyDescent="0.3">
      <c r="A15" s="6" t="s">
        <v>8</v>
      </c>
      <c r="B15" s="13">
        <f t="shared" ref="B15:M15" si="4">SUM(B16:B23)</f>
        <v>101811.79</v>
      </c>
      <c r="C15" s="13">
        <f t="shared" si="4"/>
        <v>104045.89</v>
      </c>
      <c r="D15" s="13">
        <f t="shared" si="4"/>
        <v>98995.909999999989</v>
      </c>
      <c r="E15" s="13">
        <f t="shared" si="4"/>
        <v>103718.72</v>
      </c>
      <c r="F15" s="13">
        <f t="shared" si="4"/>
        <v>105559.85</v>
      </c>
      <c r="G15" s="13">
        <f t="shared" si="4"/>
        <v>95847.47</v>
      </c>
      <c r="H15" s="13">
        <f t="shared" si="4"/>
        <v>107236.81</v>
      </c>
      <c r="I15" s="13">
        <f t="shared" si="4"/>
        <v>108530.61</v>
      </c>
      <c r="J15" s="13">
        <f t="shared" si="4"/>
        <v>98460.349999999991</v>
      </c>
      <c r="K15" s="13">
        <f t="shared" si="4"/>
        <v>106771.33</v>
      </c>
      <c r="L15" s="13">
        <f t="shared" si="4"/>
        <v>100411.28</v>
      </c>
      <c r="M15" s="13">
        <f t="shared" si="4"/>
        <v>98148.510000000009</v>
      </c>
      <c r="N15" s="13">
        <f>SUM(B15:M15)</f>
        <v>1229538.5199999998</v>
      </c>
      <c r="T15" s="9"/>
    </row>
    <row r="16" spans="1:20" ht="24" customHeight="1" thickBot="1" x14ac:dyDescent="0.3">
      <c r="A16" s="8" t="s">
        <v>28</v>
      </c>
      <c r="B16" s="12">
        <v>92814.399999999994</v>
      </c>
      <c r="C16" s="12">
        <v>95751.06</v>
      </c>
      <c r="D16" s="12">
        <v>93044.76</v>
      </c>
      <c r="E16" s="12">
        <v>94425.59</v>
      </c>
      <c r="F16" s="12">
        <v>96905.49</v>
      </c>
      <c r="G16" s="12">
        <v>89286.27</v>
      </c>
      <c r="H16" s="12">
        <v>94736.59</v>
      </c>
      <c r="I16" s="12">
        <v>100293.3</v>
      </c>
      <c r="J16" s="12">
        <v>90025.35</v>
      </c>
      <c r="K16" s="12">
        <v>97588.49</v>
      </c>
      <c r="L16" s="12">
        <v>93358.85</v>
      </c>
      <c r="M16" s="12">
        <v>89423.78</v>
      </c>
      <c r="N16" s="12">
        <f>SUM(B16:M16)</f>
        <v>1127653.93</v>
      </c>
    </row>
    <row r="17" spans="1:14" ht="24" hidden="1" customHeight="1" thickBot="1" x14ac:dyDescent="0.3">
      <c r="A17" s="8" t="s">
        <v>30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>
        <f>SUM(B17:M17)</f>
        <v>0</v>
      </c>
    </row>
    <row r="18" spans="1:14" ht="26.25" customHeight="1" thickBot="1" x14ac:dyDescent="0.3">
      <c r="A18" s="8" t="s">
        <v>15</v>
      </c>
      <c r="B18" s="12">
        <v>0</v>
      </c>
      <c r="C18" s="12">
        <v>0.01</v>
      </c>
      <c r="D18" s="12">
        <v>0</v>
      </c>
      <c r="E18" s="12">
        <v>0.16</v>
      </c>
      <c r="F18" s="12">
        <v>7.0000000000000007E-2</v>
      </c>
      <c r="G18" s="12">
        <v>0</v>
      </c>
      <c r="H18" s="12">
        <v>0.09</v>
      </c>
      <c r="I18" s="12">
        <v>0.1</v>
      </c>
      <c r="J18" s="12">
        <v>0.01</v>
      </c>
      <c r="K18" s="12">
        <v>0.08</v>
      </c>
      <c r="L18" s="12">
        <v>0.01</v>
      </c>
      <c r="M18" s="12">
        <v>0</v>
      </c>
      <c r="N18" s="12">
        <f t="shared" ref="N18:N23" si="5">SUM(B18:M18)</f>
        <v>0.53</v>
      </c>
    </row>
    <row r="19" spans="1:14" ht="26.25" customHeight="1" thickBot="1" x14ac:dyDescent="0.3">
      <c r="A19" s="8" t="s">
        <v>16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289.58</v>
      </c>
      <c r="N19" s="12">
        <f t="shared" si="5"/>
        <v>289.58</v>
      </c>
    </row>
    <row r="20" spans="1:14" ht="24" customHeight="1" thickBot="1" x14ac:dyDescent="0.3">
      <c r="A20" s="8" t="s">
        <v>17</v>
      </c>
      <c r="B20" s="14">
        <v>4677.3900000000003</v>
      </c>
      <c r="C20" s="15">
        <v>3914.82</v>
      </c>
      <c r="D20" s="15">
        <v>101.15</v>
      </c>
      <c r="E20" s="15">
        <v>4912.97</v>
      </c>
      <c r="F20" s="15">
        <v>3854.29</v>
      </c>
      <c r="G20" s="15">
        <v>2197.12</v>
      </c>
      <c r="H20" s="12">
        <v>4129.1099999999997</v>
      </c>
      <c r="I20" s="12">
        <v>3076.7</v>
      </c>
      <c r="J20" s="12">
        <v>4111.37</v>
      </c>
      <c r="K20" s="12">
        <v>3938.51</v>
      </c>
      <c r="L20" s="12">
        <v>1901.04</v>
      </c>
      <c r="M20" s="12">
        <v>3996.91</v>
      </c>
      <c r="N20" s="12">
        <f t="shared" si="5"/>
        <v>40811.380000000005</v>
      </c>
    </row>
    <row r="21" spans="1:14" ht="24" customHeight="1" thickBot="1" x14ac:dyDescent="0.3">
      <c r="A21" s="8" t="s">
        <v>25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164.08</v>
      </c>
      <c r="H21" s="14">
        <v>3991.02</v>
      </c>
      <c r="I21" s="15">
        <v>180.51</v>
      </c>
      <c r="J21" s="15">
        <v>3.62</v>
      </c>
      <c r="K21" s="12">
        <v>624.25</v>
      </c>
      <c r="L21" s="12">
        <v>611.38</v>
      </c>
      <c r="M21" s="12">
        <v>298.24</v>
      </c>
      <c r="N21" s="12">
        <f t="shared" si="5"/>
        <v>5873.1</v>
      </c>
    </row>
    <row r="22" spans="1:14" ht="24" customHeight="1" thickBot="1" x14ac:dyDescent="0.3">
      <c r="A22" s="8" t="s">
        <v>44</v>
      </c>
      <c r="B22" s="14">
        <v>4020</v>
      </c>
      <c r="C22" s="15">
        <v>4080</v>
      </c>
      <c r="D22" s="15">
        <v>5550</v>
      </c>
      <c r="E22" s="14">
        <v>4080</v>
      </c>
      <c r="F22" s="15">
        <v>4500</v>
      </c>
      <c r="G22" s="15">
        <v>3900</v>
      </c>
      <c r="H22" s="12">
        <v>4080</v>
      </c>
      <c r="I22" s="12">
        <v>4680</v>
      </c>
      <c r="J22" s="12">
        <v>4020</v>
      </c>
      <c r="K22" s="12">
        <v>4320</v>
      </c>
      <c r="L22" s="12">
        <v>4240</v>
      </c>
      <c r="M22" s="12">
        <v>3840</v>
      </c>
      <c r="N22" s="12">
        <f t="shared" si="5"/>
        <v>51310</v>
      </c>
    </row>
    <row r="23" spans="1:14" ht="24" customHeight="1" thickBot="1" x14ac:dyDescent="0.3">
      <c r="A23" s="8" t="s">
        <v>23</v>
      </c>
      <c r="B23" s="14">
        <v>300</v>
      </c>
      <c r="C23" s="14">
        <v>300</v>
      </c>
      <c r="D23" s="14">
        <v>300</v>
      </c>
      <c r="E23" s="14">
        <v>300</v>
      </c>
      <c r="F23" s="14">
        <v>300</v>
      </c>
      <c r="G23" s="14">
        <v>300</v>
      </c>
      <c r="H23" s="14">
        <v>300</v>
      </c>
      <c r="I23" s="14">
        <v>300</v>
      </c>
      <c r="J23" s="14">
        <v>300</v>
      </c>
      <c r="K23" s="14">
        <v>300</v>
      </c>
      <c r="L23" s="14">
        <v>300</v>
      </c>
      <c r="M23" s="14">
        <v>300</v>
      </c>
      <c r="N23" s="12">
        <f t="shared" si="5"/>
        <v>3600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22.2" customHeight="1" thickBot="1" x14ac:dyDescent="0.3">
      <c r="A25" s="8" t="s">
        <v>1</v>
      </c>
      <c r="B25" s="21">
        <f>3938.8*0.6</f>
        <v>2363.2800000000002</v>
      </c>
      <c r="C25" s="21">
        <f t="shared" ref="C25:M25" si="6">3938.8*0.6</f>
        <v>2363.2800000000002</v>
      </c>
      <c r="D25" s="21">
        <f t="shared" si="6"/>
        <v>2363.2800000000002</v>
      </c>
      <c r="E25" s="21">
        <f t="shared" si="6"/>
        <v>2363.2800000000002</v>
      </c>
      <c r="F25" s="21">
        <f t="shared" si="6"/>
        <v>2363.2800000000002</v>
      </c>
      <c r="G25" s="21">
        <f t="shared" si="6"/>
        <v>2363.2800000000002</v>
      </c>
      <c r="H25" s="21">
        <f t="shared" si="6"/>
        <v>2363.2800000000002</v>
      </c>
      <c r="I25" s="21">
        <f t="shared" si="6"/>
        <v>2363.2800000000002</v>
      </c>
      <c r="J25" s="21">
        <f t="shared" si="6"/>
        <v>2363.2800000000002</v>
      </c>
      <c r="K25" s="21">
        <f t="shared" si="6"/>
        <v>2363.2800000000002</v>
      </c>
      <c r="L25" s="21">
        <f t="shared" si="6"/>
        <v>2363.2800000000002</v>
      </c>
      <c r="M25" s="21">
        <f t="shared" si="6"/>
        <v>2363.2800000000002</v>
      </c>
      <c r="N25" s="12">
        <f t="shared" ref="N25" si="7">SUM(B25:M25)</f>
        <v>28359.359999999997</v>
      </c>
    </row>
    <row r="26" spans="1:14" ht="22.5" customHeight="1" thickBot="1" x14ac:dyDescent="0.3">
      <c r="A26" s="8" t="s">
        <v>2</v>
      </c>
      <c r="B26" s="21">
        <f>3938.8*0.17</f>
        <v>669.59600000000012</v>
      </c>
      <c r="C26" s="21">
        <f t="shared" ref="C26:M26" si="8">3938.8*0.17</f>
        <v>669.59600000000012</v>
      </c>
      <c r="D26" s="21">
        <f t="shared" si="8"/>
        <v>669.59600000000012</v>
      </c>
      <c r="E26" s="21">
        <f t="shared" si="8"/>
        <v>669.59600000000012</v>
      </c>
      <c r="F26" s="21">
        <f t="shared" si="8"/>
        <v>669.59600000000012</v>
      </c>
      <c r="G26" s="21">
        <f t="shared" si="8"/>
        <v>669.59600000000012</v>
      </c>
      <c r="H26" s="21">
        <f t="shared" si="8"/>
        <v>669.59600000000012</v>
      </c>
      <c r="I26" s="21">
        <f t="shared" si="8"/>
        <v>669.59600000000012</v>
      </c>
      <c r="J26" s="21">
        <f t="shared" si="8"/>
        <v>669.59600000000012</v>
      </c>
      <c r="K26" s="21">
        <f t="shared" si="8"/>
        <v>669.59600000000012</v>
      </c>
      <c r="L26" s="21">
        <f t="shared" si="8"/>
        <v>669.59600000000012</v>
      </c>
      <c r="M26" s="21">
        <f t="shared" si="8"/>
        <v>669.59600000000012</v>
      </c>
      <c r="N26" s="12">
        <f>SUM(B26:M26)</f>
        <v>8035.1520000000028</v>
      </c>
    </row>
    <row r="27" spans="1:14" ht="21" customHeight="1" thickBot="1" x14ac:dyDescent="0.3">
      <c r="A27" s="8" t="s">
        <v>3</v>
      </c>
      <c r="B27" s="12">
        <f>106856.95*2.3%</f>
        <v>2457.7098499999997</v>
      </c>
      <c r="C27" s="12">
        <f>102868.82*2.3%</f>
        <v>2365.9828600000001</v>
      </c>
      <c r="D27" s="12">
        <f>108114.4*2.3%</f>
        <v>2486.6311999999998</v>
      </c>
      <c r="E27" s="12">
        <f>106803.08*2.3%</f>
        <v>2456.47084</v>
      </c>
      <c r="F27" s="12">
        <f>105271.75*2.3%</f>
        <v>2421.2502500000001</v>
      </c>
      <c r="G27" s="12">
        <f>111829.65*2.3%</f>
        <v>2572.0819499999998</v>
      </c>
      <c r="H27" s="12">
        <f>105790.4*2.3%</f>
        <v>2433.1792</v>
      </c>
      <c r="I27" s="12">
        <f>107389.77*2.3%</f>
        <v>2469.9647100000002</v>
      </c>
      <c r="J27" s="12">
        <f>107505.94*2.3%</f>
        <v>2472.6366200000002</v>
      </c>
      <c r="K27" s="12">
        <f>105462.91*2.3%</f>
        <v>2425.6469299999999</v>
      </c>
      <c r="L27" s="12">
        <f>107873.39*2.3%</f>
        <v>2481.08797</v>
      </c>
      <c r="M27" s="12">
        <f>104330.65*2.3%</f>
        <v>2399.6049499999999</v>
      </c>
      <c r="N27" s="12">
        <f t="shared" ref="N27:N40" si="9">SUM(B27:M27)</f>
        <v>29442.247329999998</v>
      </c>
    </row>
    <row r="28" spans="1:14" ht="23.25" customHeight="1" thickBot="1" x14ac:dyDescent="0.3">
      <c r="A28" s="8" t="s">
        <v>4</v>
      </c>
      <c r="B28" s="20">
        <f>101511.79*3%</f>
        <v>3045.3536999999997</v>
      </c>
      <c r="C28" s="12">
        <f>103745.89*3%</f>
        <v>3112.3766999999998</v>
      </c>
      <c r="D28" s="19">
        <f>98695.91*3%</f>
        <v>2960.8773000000001</v>
      </c>
      <c r="E28" s="20">
        <f>103418.72*3%</f>
        <v>3102.5616</v>
      </c>
      <c r="F28" s="20">
        <f>105259.85*3%</f>
        <v>3157.7955000000002</v>
      </c>
      <c r="G28" s="20">
        <f>95547.47*3%</f>
        <v>2866.4240999999997</v>
      </c>
      <c r="H28" s="20">
        <f>106936.81*3%</f>
        <v>3208.1043</v>
      </c>
      <c r="I28" s="20">
        <f>108230.61*3%</f>
        <v>3246.9182999999998</v>
      </c>
      <c r="J28" s="20">
        <f>98160.35*3%</f>
        <v>2944.8105</v>
      </c>
      <c r="K28" s="20">
        <f>106471.33*3%</f>
        <v>3194.1399000000001</v>
      </c>
      <c r="L28" s="20">
        <f>100111.28*3%</f>
        <v>3003.3383999999996</v>
      </c>
      <c r="M28" s="20">
        <f>97848.51*3%</f>
        <v>2935.4552999999996</v>
      </c>
      <c r="N28" s="12">
        <f t="shared" si="9"/>
        <v>36778.155600000006</v>
      </c>
    </row>
    <row r="29" spans="1:14" ht="23.25" customHeight="1" thickBot="1" x14ac:dyDescent="0.3">
      <c r="A29" s="8" t="s">
        <v>9</v>
      </c>
      <c r="B29" s="21">
        <f>3938.8*8.5</f>
        <v>33479.800000000003</v>
      </c>
      <c r="C29" s="21">
        <f t="shared" ref="C29:M29" si="10">3938.8*8.5</f>
        <v>33479.800000000003</v>
      </c>
      <c r="D29" s="21">
        <f t="shared" si="10"/>
        <v>33479.800000000003</v>
      </c>
      <c r="E29" s="21">
        <f t="shared" si="10"/>
        <v>33479.800000000003</v>
      </c>
      <c r="F29" s="21">
        <f t="shared" si="10"/>
        <v>33479.800000000003</v>
      </c>
      <c r="G29" s="21">
        <f t="shared" si="10"/>
        <v>33479.800000000003</v>
      </c>
      <c r="H29" s="21">
        <f t="shared" si="10"/>
        <v>33479.800000000003</v>
      </c>
      <c r="I29" s="21">
        <f t="shared" si="10"/>
        <v>33479.800000000003</v>
      </c>
      <c r="J29" s="21">
        <f t="shared" si="10"/>
        <v>33479.800000000003</v>
      </c>
      <c r="K29" s="21">
        <f t="shared" si="10"/>
        <v>33479.800000000003</v>
      </c>
      <c r="L29" s="21">
        <f t="shared" si="10"/>
        <v>33479.800000000003</v>
      </c>
      <c r="M29" s="21">
        <f t="shared" si="10"/>
        <v>33479.800000000003</v>
      </c>
      <c r="N29" s="12">
        <f t="shared" si="9"/>
        <v>401757.59999999992</v>
      </c>
    </row>
    <row r="30" spans="1:14" ht="26.25" customHeight="1" thickBot="1" x14ac:dyDescent="0.3">
      <c r="A30" s="8" t="s">
        <v>18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f t="shared" si="9"/>
        <v>0</v>
      </c>
    </row>
    <row r="31" spans="1:14" ht="26.25" customHeight="1" thickBot="1" x14ac:dyDescent="0.3">
      <c r="A31" s="8" t="s">
        <v>19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f t="shared" si="9"/>
        <v>0</v>
      </c>
    </row>
    <row r="32" spans="1:14" ht="26.25" customHeight="1" thickBot="1" x14ac:dyDescent="0.3">
      <c r="A32" s="8" t="s">
        <v>20</v>
      </c>
      <c r="B32" s="12">
        <v>0</v>
      </c>
      <c r="C32" s="12">
        <v>5245.6</v>
      </c>
      <c r="D32" s="12">
        <v>3934.2</v>
      </c>
      <c r="E32" s="12">
        <v>2402.84</v>
      </c>
      <c r="F32" s="12">
        <v>4423.8900000000003</v>
      </c>
      <c r="G32" s="12">
        <v>2921.6</v>
      </c>
      <c r="H32" s="12">
        <v>4520.9399999999996</v>
      </c>
      <c r="I32" s="12">
        <v>3981.86</v>
      </c>
      <c r="J32" s="12">
        <v>1938.84</v>
      </c>
      <c r="K32" s="12">
        <v>4448.45</v>
      </c>
      <c r="L32" s="12">
        <v>3216.3</v>
      </c>
      <c r="M32" s="12">
        <v>2808.59</v>
      </c>
      <c r="N32" s="12">
        <f t="shared" si="9"/>
        <v>39843.11</v>
      </c>
    </row>
    <row r="33" spans="1:14" ht="23.25" customHeight="1" thickBot="1" x14ac:dyDescent="0.3">
      <c r="A33" s="8" t="s">
        <v>25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327.72</v>
      </c>
      <c r="I33" s="12">
        <v>327.72</v>
      </c>
      <c r="J33" s="12">
        <v>327.72</v>
      </c>
      <c r="K33" s="12">
        <v>327.72</v>
      </c>
      <c r="L33" s="12">
        <v>327.72</v>
      </c>
      <c r="M33" s="12">
        <v>327.72</v>
      </c>
      <c r="N33" s="12">
        <f t="shared" si="9"/>
        <v>1966.3200000000002</v>
      </c>
    </row>
    <row r="34" spans="1:14" ht="22.5" customHeight="1" thickBot="1" x14ac:dyDescent="0.3">
      <c r="A34" s="8" t="s">
        <v>6</v>
      </c>
      <c r="B34" s="21">
        <f>3938.8*3.75</f>
        <v>14770.5</v>
      </c>
      <c r="C34" s="21">
        <f t="shared" ref="C34:M34" si="11">3938.8*3.75</f>
        <v>14770.5</v>
      </c>
      <c r="D34" s="21">
        <f t="shared" si="11"/>
        <v>14770.5</v>
      </c>
      <c r="E34" s="21">
        <f t="shared" si="11"/>
        <v>14770.5</v>
      </c>
      <c r="F34" s="21">
        <f t="shared" si="11"/>
        <v>14770.5</v>
      </c>
      <c r="G34" s="21">
        <f t="shared" si="11"/>
        <v>14770.5</v>
      </c>
      <c r="H34" s="21">
        <f t="shared" si="11"/>
        <v>14770.5</v>
      </c>
      <c r="I34" s="21">
        <f t="shared" si="11"/>
        <v>14770.5</v>
      </c>
      <c r="J34" s="21">
        <f t="shared" si="11"/>
        <v>14770.5</v>
      </c>
      <c r="K34" s="21">
        <f t="shared" si="11"/>
        <v>14770.5</v>
      </c>
      <c r="L34" s="21">
        <f t="shared" si="11"/>
        <v>14770.5</v>
      </c>
      <c r="M34" s="21">
        <f t="shared" si="11"/>
        <v>14770.5</v>
      </c>
      <c r="N34" s="12">
        <f t="shared" si="9"/>
        <v>177246</v>
      </c>
    </row>
    <row r="35" spans="1:14" ht="22.5" customHeight="1" thickBot="1" x14ac:dyDescent="0.3">
      <c r="A35" s="8" t="s">
        <v>24</v>
      </c>
      <c r="B35" s="21">
        <f>6983.89*2</f>
        <v>13967.78</v>
      </c>
      <c r="C35" s="21">
        <f>6983.89*2</f>
        <v>13967.78</v>
      </c>
      <c r="D35" s="21">
        <f>6983.89*2</f>
        <v>13967.78</v>
      </c>
      <c r="E35" s="21">
        <f>7341.56*2</f>
        <v>14683.12</v>
      </c>
      <c r="F35" s="21">
        <f>7341.55*2</f>
        <v>14683.1</v>
      </c>
      <c r="G35" s="21">
        <f>7341.55*2</f>
        <v>14683.1</v>
      </c>
      <c r="H35" s="21">
        <f>7341.55*2</f>
        <v>14683.1</v>
      </c>
      <c r="I35" s="21">
        <f>7021.54*2</f>
        <v>14043.08</v>
      </c>
      <c r="J35" s="21">
        <f>7021.54*2</f>
        <v>14043.08</v>
      </c>
      <c r="K35" s="21">
        <f>7021.54*2</f>
        <v>14043.08</v>
      </c>
      <c r="L35" s="21">
        <f>7021.54*2</f>
        <v>14043.08</v>
      </c>
      <c r="M35" s="21">
        <f>7021.54*2</f>
        <v>14043.08</v>
      </c>
      <c r="N35" s="12">
        <f t="shared" si="9"/>
        <v>170851.16</v>
      </c>
    </row>
    <row r="36" spans="1:14" ht="22.5" customHeight="1" thickBot="1" x14ac:dyDescent="0.3">
      <c r="A36" s="8" t="s">
        <v>27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7800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f t="shared" si="9"/>
        <v>7800</v>
      </c>
    </row>
    <row r="37" spans="1:14" ht="21.75" customHeight="1" thickBot="1" x14ac:dyDescent="0.3">
      <c r="A37" s="8" t="s">
        <v>44</v>
      </c>
      <c r="B37" s="12">
        <v>0</v>
      </c>
      <c r="C37" s="12">
        <v>2462</v>
      </c>
      <c r="D37" s="12">
        <v>2326</v>
      </c>
      <c r="E37" s="12">
        <v>3163</v>
      </c>
      <c r="F37" s="12">
        <v>2326</v>
      </c>
      <c r="G37" s="12">
        <v>2565</v>
      </c>
      <c r="H37" s="12">
        <v>2223</v>
      </c>
      <c r="I37" s="12">
        <v>2326</v>
      </c>
      <c r="J37" s="12">
        <v>2667</v>
      </c>
      <c r="K37" s="12">
        <v>2292</v>
      </c>
      <c r="L37" s="12">
        <v>2462</v>
      </c>
      <c r="M37" s="12">
        <v>2417</v>
      </c>
      <c r="N37" s="12">
        <f t="shared" si="9"/>
        <v>27229</v>
      </c>
    </row>
    <row r="38" spans="1:14" ht="21.75" customHeight="1" thickBot="1" x14ac:dyDescent="0.3">
      <c r="A38" s="8" t="s">
        <v>45</v>
      </c>
      <c r="B38" s="12">
        <v>0</v>
      </c>
      <c r="C38" s="12">
        <f>1296+562</f>
        <v>1858</v>
      </c>
      <c r="D38" s="12">
        <f>1224+530</f>
        <v>1754</v>
      </c>
      <c r="E38" s="12">
        <f>722+1665</f>
        <v>2387</v>
      </c>
      <c r="F38" s="12">
        <f>530+1224</f>
        <v>1754</v>
      </c>
      <c r="G38" s="12">
        <f>585+1350</f>
        <v>1935</v>
      </c>
      <c r="H38" s="12">
        <f>507+1170</f>
        <v>1677</v>
      </c>
      <c r="I38" s="12">
        <f>530+1224</f>
        <v>1754</v>
      </c>
      <c r="J38" s="12">
        <f>609+1404</f>
        <v>2013</v>
      </c>
      <c r="K38" s="12">
        <f>522+1206</f>
        <v>1728</v>
      </c>
      <c r="L38" s="12">
        <f>562+1296</f>
        <v>1858</v>
      </c>
      <c r="M38" s="12">
        <f>551+1272</f>
        <v>1823</v>
      </c>
      <c r="N38" s="12">
        <f t="shared" si="9"/>
        <v>20541</v>
      </c>
    </row>
    <row r="39" spans="1:14" ht="22.8" customHeight="1" thickBot="1" x14ac:dyDescent="0.3">
      <c r="A39" s="8" t="s">
        <v>29</v>
      </c>
      <c r="B39" s="21">
        <f>900</f>
        <v>900</v>
      </c>
      <c r="C39" s="21">
        <f>900</f>
        <v>900</v>
      </c>
      <c r="D39" s="21">
        <v>0</v>
      </c>
      <c r="E39" s="21">
        <v>900</v>
      </c>
      <c r="F39" s="21">
        <v>900</v>
      </c>
      <c r="G39" s="21">
        <v>900</v>
      </c>
      <c r="H39" s="21">
        <v>900</v>
      </c>
      <c r="I39" s="21">
        <v>900</v>
      </c>
      <c r="J39" s="21">
        <v>900</v>
      </c>
      <c r="K39" s="21">
        <v>900</v>
      </c>
      <c r="L39" s="21">
        <v>900</v>
      </c>
      <c r="M39" s="21">
        <v>900</v>
      </c>
      <c r="N39" s="12">
        <f t="shared" si="9"/>
        <v>9900</v>
      </c>
    </row>
    <row r="40" spans="1:14" ht="24" customHeight="1" thickBot="1" x14ac:dyDescent="0.3">
      <c r="A40" s="8" t="s">
        <v>10</v>
      </c>
      <c r="B40" s="12">
        <f>9788.5</f>
        <v>9788.5</v>
      </c>
      <c r="C40" s="12">
        <f>649.3+3500+342</f>
        <v>4491.3</v>
      </c>
      <c r="D40" s="12">
        <v>0</v>
      </c>
      <c r="E40" s="12">
        <f>215351.77+3960.22</f>
        <v>219311.99</v>
      </c>
      <c r="F40" s="12">
        <f>2174.6</f>
        <v>2174.6</v>
      </c>
      <c r="G40" s="12">
        <f>9805+4322</f>
        <v>14127</v>
      </c>
      <c r="H40" s="12">
        <f>3348.2</f>
        <v>3348.2</v>
      </c>
      <c r="I40" s="12">
        <f>684</f>
        <v>684</v>
      </c>
      <c r="J40" s="12">
        <f>22100+250</f>
        <v>22350</v>
      </c>
      <c r="K40" s="12">
        <f>8623.9+10916.4</f>
        <v>19540.3</v>
      </c>
      <c r="L40" s="12">
        <f>1753.4+623.4</f>
        <v>2376.8000000000002</v>
      </c>
      <c r="M40" s="12">
        <f>20261.1</f>
        <v>20261.099999999999</v>
      </c>
      <c r="N40" s="12">
        <f t="shared" si="9"/>
        <v>318453.78999999992</v>
      </c>
    </row>
    <row r="41" spans="1:14" ht="22.5" customHeight="1" thickBot="1" x14ac:dyDescent="0.3">
      <c r="A41" s="4" t="s">
        <v>21</v>
      </c>
      <c r="B41" s="11">
        <f t="shared" ref="B41:M41" si="12">SUM(B25:B40)</f>
        <v>81442.519549999997</v>
      </c>
      <c r="C41" s="11">
        <f t="shared" si="12"/>
        <v>85686.215560000011</v>
      </c>
      <c r="D41" s="11">
        <f t="shared" si="12"/>
        <v>78712.664499999999</v>
      </c>
      <c r="E41" s="11">
        <f t="shared" si="12"/>
        <v>299690.15843999997</v>
      </c>
      <c r="F41" s="11">
        <f t="shared" si="12"/>
        <v>83123.811750000008</v>
      </c>
      <c r="G41" s="11">
        <f t="shared" si="12"/>
        <v>93853.38205</v>
      </c>
      <c r="H41" s="11">
        <f t="shared" si="12"/>
        <v>92404.419500000004</v>
      </c>
      <c r="I41" s="11">
        <f t="shared" si="12"/>
        <v>81016.719010000001</v>
      </c>
      <c r="J41" s="11">
        <f t="shared" si="12"/>
        <v>100940.26312</v>
      </c>
      <c r="K41" s="11">
        <f t="shared" si="12"/>
        <v>100182.51283000001</v>
      </c>
      <c r="L41" s="11">
        <f t="shared" si="12"/>
        <v>81951.502370000017</v>
      </c>
      <c r="M41" s="11">
        <f t="shared" si="12"/>
        <v>99198.726250000007</v>
      </c>
      <c r="N41" s="11">
        <f>SUM(B41:M41)</f>
        <v>1278202.8949300002</v>
      </c>
    </row>
    <row r="42" spans="1:14" ht="23.25" customHeight="1" thickBot="1" x14ac:dyDescent="0.3">
      <c r="A42" s="5" t="s">
        <v>5</v>
      </c>
      <c r="B42" s="16">
        <f t="shared" ref="B42:N42" si="13">B15-B41</f>
        <v>20369.270449999996</v>
      </c>
      <c r="C42" s="16">
        <f t="shared" si="13"/>
        <v>18359.674439999988</v>
      </c>
      <c r="D42" s="16">
        <f t="shared" si="13"/>
        <v>20283.24549999999</v>
      </c>
      <c r="E42" s="16">
        <f t="shared" si="13"/>
        <v>-195971.43843999997</v>
      </c>
      <c r="F42" s="16">
        <f t="shared" si="13"/>
        <v>22436.038249999998</v>
      </c>
      <c r="G42" s="16">
        <f t="shared" si="13"/>
        <v>1994.087950000001</v>
      </c>
      <c r="H42" s="16">
        <f t="shared" si="13"/>
        <v>14832.390499999994</v>
      </c>
      <c r="I42" s="16">
        <f t="shared" si="13"/>
        <v>27513.89099</v>
      </c>
      <c r="J42" s="16">
        <f t="shared" si="13"/>
        <v>-2479.913120000012</v>
      </c>
      <c r="K42" s="16">
        <f t="shared" si="13"/>
        <v>6588.8171699999948</v>
      </c>
      <c r="L42" s="16">
        <f t="shared" si="13"/>
        <v>18459.777629999982</v>
      </c>
      <c r="M42" s="16">
        <f t="shared" si="13"/>
        <v>-1050.2162499999977</v>
      </c>
      <c r="N42" s="16">
        <f t="shared" si="13"/>
        <v>-48664.374930000398</v>
      </c>
    </row>
    <row r="43" spans="1:14" ht="23.25" customHeight="1" thickBot="1" x14ac:dyDescent="0.3">
      <c r="A43" s="5" t="s">
        <v>7</v>
      </c>
      <c r="B43" s="14">
        <f t="shared" ref="B43:N43" si="14">B4+B42</f>
        <v>65711.100449999998</v>
      </c>
      <c r="C43" s="14">
        <f t="shared" si="14"/>
        <v>84070.774889999986</v>
      </c>
      <c r="D43" s="14">
        <f t="shared" si="14"/>
        <v>104354.02038999998</v>
      </c>
      <c r="E43" s="14">
        <f t="shared" si="14"/>
        <v>-91617.418049999993</v>
      </c>
      <c r="F43" s="14">
        <f t="shared" si="14"/>
        <v>-69181.379799999995</v>
      </c>
      <c r="G43" s="14">
        <f t="shared" si="14"/>
        <v>-67187.291849999994</v>
      </c>
      <c r="H43" s="14">
        <f t="shared" si="14"/>
        <v>-52354.90135</v>
      </c>
      <c r="I43" s="14">
        <f t="shared" si="14"/>
        <v>-24841.01036</v>
      </c>
      <c r="J43" s="14">
        <f t="shared" si="14"/>
        <v>-27320.923480000012</v>
      </c>
      <c r="K43" s="14">
        <f t="shared" si="14"/>
        <v>-20732.106310000017</v>
      </c>
      <c r="L43" s="14">
        <f t="shared" si="14"/>
        <v>-2272.3286800000351</v>
      </c>
      <c r="M43" s="14">
        <f t="shared" si="14"/>
        <v>-3322.5449300000328</v>
      </c>
      <c r="N43" s="14">
        <f t="shared" si="14"/>
        <v>-3322.5449300003966</v>
      </c>
    </row>
    <row r="44" spans="1:14" ht="27" customHeight="1" thickBot="1" x14ac:dyDescent="0.3">
      <c r="A44" s="7" t="s">
        <v>11</v>
      </c>
      <c r="B44" s="18">
        <f t="shared" ref="B44:N44" si="15">B5+B15-B6</f>
        <v>-195628.7</v>
      </c>
      <c r="C44" s="18">
        <f t="shared" si="15"/>
        <v>-194751.63</v>
      </c>
      <c r="D44" s="18">
        <f t="shared" si="15"/>
        <v>-204170.12000000002</v>
      </c>
      <c r="E44" s="18">
        <f t="shared" si="15"/>
        <v>-207554.48000000004</v>
      </c>
      <c r="F44" s="18">
        <f t="shared" si="15"/>
        <v>-207566.38000000003</v>
      </c>
      <c r="G44" s="18">
        <f t="shared" si="15"/>
        <v>-223848.56000000006</v>
      </c>
      <c r="H44" s="18">
        <f t="shared" si="15"/>
        <v>-222702.15000000008</v>
      </c>
      <c r="I44" s="18">
        <f t="shared" si="15"/>
        <v>-221861.31000000008</v>
      </c>
      <c r="J44" s="18">
        <f t="shared" si="15"/>
        <v>-231206.90000000011</v>
      </c>
      <c r="K44" s="18">
        <f t="shared" si="15"/>
        <v>-230198.48000000013</v>
      </c>
      <c r="L44" s="18">
        <f t="shared" si="15"/>
        <v>-237960.59000000014</v>
      </c>
      <c r="M44" s="18">
        <f t="shared" si="15"/>
        <v>-244442.73000000016</v>
      </c>
      <c r="N44" s="18">
        <f t="shared" si="15"/>
        <v>-244442.73000000021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2025-03-06T04:54:28Z</cp:lastPrinted>
  <dcterms:created xsi:type="dcterms:W3CDTF">2011-06-06T03:25:48Z</dcterms:created>
  <dcterms:modified xsi:type="dcterms:W3CDTF">2025-03-06T05:01:24Z</dcterms:modified>
</cp:coreProperties>
</file>