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45" i="1" l="1"/>
  <c r="N45" i="1"/>
  <c r="L45" i="1"/>
  <c r="L29" i="1"/>
  <c r="L9" i="1"/>
  <c r="N44" i="1"/>
  <c r="M40" i="1" l="1"/>
  <c r="M38" i="1" l="1"/>
  <c r="L38" i="1"/>
  <c r="K38" i="1" l="1"/>
  <c r="L40" i="1" l="1"/>
  <c r="J36" i="1" l="1"/>
  <c r="J41" i="1" s="1"/>
  <c r="J42" i="1" s="1"/>
  <c r="J43" i="1" s="1"/>
  <c r="J38" i="1"/>
  <c r="J40" i="1"/>
  <c r="J45" i="1"/>
  <c r="K40" i="1" l="1"/>
  <c r="M30" i="1" l="1"/>
  <c r="M18" i="1"/>
  <c r="M29" i="1"/>
  <c r="M9" i="1"/>
  <c r="L30" i="1" l="1"/>
  <c r="L18" i="1"/>
  <c r="K30" i="1" l="1"/>
  <c r="K18" i="1"/>
  <c r="K29" i="1"/>
  <c r="K9" i="1"/>
  <c r="K36" i="1" l="1"/>
  <c r="L36" i="1"/>
  <c r="M36" i="1"/>
  <c r="K31" i="1"/>
  <c r="L31" i="1"/>
  <c r="M31" i="1"/>
  <c r="K28" i="1"/>
  <c r="L28" i="1"/>
  <c r="M28" i="1"/>
  <c r="K27" i="1"/>
  <c r="L27" i="1"/>
  <c r="M27" i="1"/>
  <c r="I38" i="1" l="1"/>
  <c r="H38" i="1"/>
  <c r="J32" i="1" l="1"/>
  <c r="I32" i="1"/>
  <c r="H32" i="1"/>
  <c r="H40" i="1" l="1"/>
  <c r="J30" i="1" l="1"/>
  <c r="J18" i="1"/>
  <c r="J29" i="1"/>
  <c r="J9" i="1"/>
  <c r="I30" i="1" l="1"/>
  <c r="I18" i="1"/>
  <c r="I29" i="1"/>
  <c r="I9" i="1"/>
  <c r="H30" i="1" l="1"/>
  <c r="H18" i="1"/>
  <c r="H29" i="1"/>
  <c r="H9" i="1"/>
  <c r="I36" i="1" l="1"/>
  <c r="H36" i="1"/>
  <c r="H31" i="1" l="1"/>
  <c r="I31" i="1"/>
  <c r="J31" i="1"/>
  <c r="H28" i="1"/>
  <c r="I28" i="1"/>
  <c r="J28" i="1"/>
  <c r="H27" i="1"/>
  <c r="I27" i="1"/>
  <c r="J27" i="1"/>
  <c r="G38" i="1" l="1"/>
  <c r="F38" i="1"/>
  <c r="E38" i="1" l="1"/>
  <c r="G40" i="1" l="1"/>
  <c r="G39" i="1" l="1"/>
  <c r="F39" i="1" l="1"/>
  <c r="E39" i="1" l="1"/>
  <c r="F40" i="1" l="1"/>
  <c r="G30" i="1" l="1"/>
  <c r="G18" i="1"/>
  <c r="G29" i="1"/>
  <c r="G9" i="1"/>
  <c r="E40" i="1" l="1"/>
  <c r="F30" i="1" l="1"/>
  <c r="F18" i="1"/>
  <c r="F29" i="1"/>
  <c r="F9" i="1"/>
  <c r="E30" i="1" l="1"/>
  <c r="E18" i="1"/>
  <c r="E29" i="1"/>
  <c r="D9" i="1"/>
  <c r="E9" i="1"/>
  <c r="E36" i="1" l="1"/>
  <c r="F36" i="1"/>
  <c r="G36" i="1"/>
  <c r="E31" i="1"/>
  <c r="F31" i="1"/>
  <c r="G31" i="1"/>
  <c r="E28" i="1"/>
  <c r="F28" i="1"/>
  <c r="G28" i="1"/>
  <c r="E27" i="1"/>
  <c r="F27" i="1"/>
  <c r="G27" i="1"/>
  <c r="D38" i="1" l="1"/>
  <c r="C38" i="1"/>
  <c r="D39" i="1" l="1"/>
  <c r="C39" i="1" l="1"/>
  <c r="B39" i="1" l="1"/>
  <c r="C40" i="1" l="1"/>
  <c r="D30" i="1" l="1"/>
  <c r="D18" i="1"/>
  <c r="D29" i="1"/>
  <c r="C30" i="1" l="1"/>
  <c r="C18" i="1"/>
  <c r="C29" i="1"/>
  <c r="C9" i="1"/>
  <c r="B30" i="1" l="1"/>
  <c r="B18" i="1"/>
  <c r="B29" i="1"/>
  <c r="B9" i="1"/>
  <c r="C36" i="1" l="1"/>
  <c r="D36" i="1"/>
  <c r="C31" i="1"/>
  <c r="D31" i="1"/>
  <c r="C28" i="1"/>
  <c r="D28" i="1"/>
  <c r="C27" i="1"/>
  <c r="D27" i="1"/>
  <c r="B36" i="1"/>
  <c r="B31" i="1"/>
  <c r="B28" i="1"/>
  <c r="B27" i="1"/>
  <c r="N38" i="1" l="1"/>
  <c r="N16" i="1" l="1"/>
  <c r="N15" i="1"/>
  <c r="N14" i="1"/>
  <c r="N28" i="1" l="1"/>
  <c r="N31" i="1"/>
  <c r="N33" i="1"/>
  <c r="N34" i="1"/>
  <c r="N35" i="1"/>
  <c r="N36" i="1"/>
  <c r="N37" i="1"/>
  <c r="N39" i="1"/>
  <c r="N27" i="1"/>
  <c r="N11" i="1" l="1"/>
  <c r="N13" i="1"/>
  <c r="N12" i="1"/>
  <c r="N25" i="1" l="1"/>
  <c r="N19" i="1" l="1"/>
  <c r="N20" i="1"/>
  <c r="N21" i="1"/>
  <c r="N22" i="1"/>
  <c r="N23" i="1"/>
  <c r="N24" i="1"/>
  <c r="N32" i="1" l="1"/>
  <c r="N40" i="1" l="1"/>
  <c r="D17" i="1" l="1"/>
  <c r="D8" i="1"/>
  <c r="C17" i="1" l="1"/>
  <c r="C8" i="1"/>
  <c r="N30" i="1"/>
  <c r="N29" i="1"/>
  <c r="B8" i="1"/>
  <c r="B17" i="1" l="1"/>
  <c r="B45" i="1" s="1"/>
  <c r="N18" i="1"/>
  <c r="N7" i="1"/>
  <c r="N6" i="1"/>
  <c r="G17" i="1"/>
  <c r="G41" i="1" l="1"/>
  <c r="G42" i="1" s="1"/>
  <c r="C7" i="1"/>
  <c r="C45" i="1" s="1"/>
  <c r="G8" i="1"/>
  <c r="C41" i="1"/>
  <c r="C42" i="1" s="1"/>
  <c r="B41" i="1" l="1"/>
  <c r="B42" i="1" l="1"/>
  <c r="B43" i="1" s="1"/>
  <c r="C6" i="1" s="1"/>
  <c r="C43" i="1" s="1"/>
  <c r="N10" i="1"/>
  <c r="N9" i="1" l="1"/>
  <c r="E17" i="1" l="1"/>
  <c r="L17" i="1"/>
  <c r="M17" i="1"/>
  <c r="K17" i="1" l="1"/>
  <c r="J17" i="1" l="1"/>
  <c r="I17" i="1"/>
  <c r="D7" i="1" l="1"/>
  <c r="D45" i="1" s="1"/>
  <c r="H17" i="1" l="1"/>
  <c r="F17" i="1" l="1"/>
  <c r="N17" i="1" l="1"/>
  <c r="N41" i="1"/>
  <c r="M41" i="1"/>
  <c r="M42" i="1" s="1"/>
  <c r="L8" i="1"/>
  <c r="L41" i="1" l="1"/>
  <c r="L42" i="1" s="1"/>
  <c r="M8" i="1"/>
  <c r="I41" i="1" l="1"/>
  <c r="I42" i="1" s="1"/>
  <c r="K41" i="1"/>
  <c r="K42" i="1" s="1"/>
  <c r="I8" i="1"/>
  <c r="J8" i="1"/>
  <c r="K8" i="1"/>
  <c r="F8" i="1" l="1"/>
  <c r="H8" i="1"/>
  <c r="E8" i="1"/>
  <c r="N8" i="1" l="1"/>
  <c r="E7" i="1"/>
  <c r="D41" i="1"/>
  <c r="H41" i="1"/>
  <c r="H42" i="1" s="1"/>
  <c r="E41" i="1"/>
  <c r="E42" i="1" s="1"/>
  <c r="F41" i="1"/>
  <c r="F42" i="1" s="1"/>
  <c r="E45" i="1" l="1"/>
  <c r="F7" i="1" s="1"/>
  <c r="F45" i="1" s="1"/>
  <c r="G7" i="1" s="1"/>
  <c r="G45" i="1" s="1"/>
  <c r="D42" i="1"/>
  <c r="D6" i="1"/>
  <c r="D43" i="1" l="1"/>
  <c r="E6" i="1" s="1"/>
  <c r="N42" i="1"/>
  <c r="N43" i="1" s="1"/>
  <c r="H7" i="1"/>
  <c r="H45" i="1" s="1"/>
  <c r="E43" i="1" l="1"/>
  <c r="F6" i="1" s="1"/>
  <c r="I7" i="1"/>
  <c r="I45" i="1" s="1"/>
  <c r="F43" i="1" l="1"/>
  <c r="G6" i="1" s="1"/>
  <c r="J7" i="1"/>
  <c r="G43" i="1" l="1"/>
  <c r="H6" i="1" s="1"/>
  <c r="H43" i="1" s="1"/>
  <c r="I6" i="1" s="1"/>
  <c r="K7" i="1"/>
  <c r="K45" i="1" s="1"/>
  <c r="I43" i="1" l="1"/>
  <c r="J6" i="1" s="1"/>
  <c r="K6" i="1" s="1"/>
  <c r="K43" i="1" s="1"/>
  <c r="L6" i="1" s="1"/>
  <c r="L43" i="1" s="1"/>
  <c r="M6" i="1" s="1"/>
  <c r="M43" i="1" s="1"/>
  <c r="L7" i="1"/>
  <c r="M7" i="1" l="1"/>
</calcChain>
</file>

<file path=xl/sharedStrings.xml><?xml version="1.0" encoding="utf-8"?>
<sst xmlns="http://schemas.openxmlformats.org/spreadsheetml/2006/main" count="56" uniqueCount="46">
  <si>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</si>
  <si>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</si>
  <si>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</si>
  <si>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</si>
  <si>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</si>
  <si>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</si>
  <si>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</si>
  <si>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</si>
  <si>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</si>
  <si>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</si>
  <si>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</si>
  <si>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</si>
  <si>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</si>
  <si>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</si>
  <si>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</si>
  <si>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</si>
  <si>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</si>
  <si>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</si>
  <si>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</si>
  <si>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</si>
  <si>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</si>
  <si>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</si>
  <si>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</si>
  <si>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</si>
  <si>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</si>
  <si>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 xml:space="preserve">                 ОТЧЕТ по дому Короленко, 51</t>
  </si>
  <si>
    <t>Содержание жилья и текущий ремонт,  ОПУ /нежилые</t>
  </si>
  <si>
    <t>Дополнительный доход (использование общего имущества)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</si>
  <si>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</si>
  <si>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</si>
  <si>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</si>
  <si>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</si>
  <si>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</si>
  <si>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</si>
  <si>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</si>
  <si>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</si>
  <si>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</t>
  </si>
  <si>
    <t>Сентябрь 2024г.</t>
  </si>
  <si>
    <t>Октябрь 2024г.</t>
  </si>
  <si>
    <t>Ноябрь 2024г.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</si>
  <si>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</si>
  <si>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</si>
  <si>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</si>
  <si>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</si>
  <si>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01.01.2024г. по 31.12.2024г.</t>
    </r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</si>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</sst>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3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C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8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164" fontId="11" fillId="2" borderId="4" xfId="0" applyNumberFormat="1" applyFont="1" applyFill="1" applyBorder="1" applyAlignment="1">
      <alignment horizontal="left" vertical="top" wrapText="1"/>
    </xf>
    <xf numFmtId="164" fontId="11" fillId="3" borderId="4" xfId="0" applyNumberFormat="1" applyFont="1" applyFill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left" vertical="top" wrapText="1"/>
    </xf>
    <xf numFmtId="164" fontId="11" fillId="0" borderId="5" xfId="0" applyNumberFormat="1" applyFont="1" applyBorder="1" applyAlignment="1">
      <alignment horizontal="left" vertical="top" wrapText="1"/>
    </xf>
    <xf numFmtId="0" fontId="10" fillId="0" borderId="3" xfId="0" applyFont="1" applyFill="1" applyBorder="1" applyAlignment="1">
      <alignment vertical="top" wrapText="1"/>
    </xf>
    <xf numFmtId="164" fontId="10" fillId="0" borderId="4" xfId="0" applyNumberFormat="1" applyFont="1" applyFill="1" applyBorder="1" applyAlignment="1">
      <alignment horizontal="left" vertical="top" wrapText="1"/>
    </xf>
    <xf numFmtId="0" fontId="0" fillId="0" borderId="0" xfId="0" applyFill="1"/>
    <xf numFmtId="4" fontId="1" fillId="0" borderId="5" xfId="0" applyNumberFormat="1" applyFont="1" applyBorder="1" applyAlignment="1">
      <alignment vertical="top" wrapText="1"/>
    </xf>
    <xf numFmtId="4" fontId="10" fillId="0" borderId="4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vertical="top" wrapText="1"/>
    </xf>
    <xf numFmtId="4" fontId="1" fillId="3" borderId="6" xfId="0" applyNumberFormat="1" applyFont="1" applyFill="1" applyBorder="1" applyAlignment="1">
      <alignment horizontal="left" vertical="top" wrapText="1"/>
    </xf>
    <xf numFmtId="164" fontId="10" fillId="4" borderId="4" xfId="0" applyNumberFormat="1" applyFont="1" applyFill="1" applyBorder="1" applyAlignment="1">
      <alignment horizontal="left" vertical="top" wrapText="1"/>
    </xf>
    <xf numFmtId="4" fontId="11" fillId="3" borderId="4" xfId="0" applyNumberFormat="1" applyFont="1" applyFill="1" applyBorder="1" applyAlignment="1">
      <alignment horizontal="left" vertical="top" wrapText="1"/>
    </xf>
    <xf numFmtId="4" fontId="0" fillId="0" borderId="0" xfId="0" applyNumberFormat="1"/>
    <xf numFmtId="164" fontId="10" fillId="0" borderId="5" xfId="0" applyNumberFormat="1" applyFont="1" applyBorder="1" applyAlignment="1">
      <alignment horizontal="left" vertical="top" wrapText="1"/>
    </xf>
    <xf numFmtId="0" fontId="12" fillId="0" borderId="0" xfId="0" applyFont="1"/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left" vertical="top" wrapText="1"/>
    </xf>
    <xf numFmtId="4" fontId="11" fillId="0" borderId="4" xfId="0" applyNumberFormat="1" applyFont="1" applyFill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left" vertical="top" wrapText="1"/>
    </xf>
    <xf numFmtId="0" fontId="1" fillId="5" borderId="3" xfId="0" applyFont="1" applyFill="1" applyBorder="1" applyAlignment="1">
      <alignment vertical="top" wrapText="1"/>
    </xf>
    <xf numFmtId="4" fontId="1" fillId="5" borderId="4" xfId="0" applyNumberFormat="1" applyFont="1" applyFill="1" applyBorder="1" applyAlignment="1">
      <alignment horizontal="left" vertical="top" wrapText="1"/>
    </xf>
    <xf numFmtId="164" fontId="11" fillId="5" borderId="4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/>
    <xf numFmtId="4" fontId="10" fillId="0" borderId="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B35" zoomScale="75" workbookViewId="0">
      <selection activeCell="M48" sqref="M48"/>
    </sheetView>
  </sheetViews>
  <sheetFormatPr defaultRowHeight="13.2" x14ac:dyDescent="0.25"/>
  <cols>
    <col min="1" max="1" width="58.6640625" customWidth="1"/>
    <col min="2" max="3" width="14.6640625" customWidth="1"/>
    <col min="4" max="4" width="14.88671875" customWidth="1"/>
    <col min="5" max="13" width="14.33203125" customWidth="1"/>
    <col min="14" max="14" width="15.5546875" customWidth="1"/>
    <col min="16" max="16" width="9.44140625" bestFit="1" customWidth="1"/>
    <col min="17" max="17" width="11.5546875" bestFit="1" customWidth="1"/>
  </cols>
  <sheetData>
    <row r="1" spans="1:18" ht="20.25" customHeight="1" x14ac:dyDescent="0.4">
      <c r="A1" s="32" t="s">
        <v>25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8" ht="20.399999999999999" x14ac:dyDescent="0.35">
      <c r="A2" s="34" t="s">
        <v>44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8" ht="7.5" customHeight="1" thickBot="1" x14ac:dyDescent="0.3">
      <c r="A3" s="1"/>
      <c r="B3" s="1"/>
      <c r="R3" s="2"/>
    </row>
    <row r="4" spans="1:18" ht="3" hidden="1" customHeight="1" thickBot="1" x14ac:dyDescent="0.3">
      <c r="A4" s="1"/>
      <c r="B4" s="1"/>
    </row>
    <row r="5" spans="1:18" ht="38.25" customHeight="1" thickBot="1" x14ac:dyDescent="0.3">
      <c r="A5" s="3" t="s">
        <v>0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 t="s">
        <v>40</v>
      </c>
      <c r="N5" s="4" t="s">
        <v>41</v>
      </c>
    </row>
    <row r="6" spans="1:18" ht="23.25" customHeight="1" thickBot="1" x14ac:dyDescent="0.3">
      <c r="A6" s="5" t="s">
        <v>14</v>
      </c>
      <c r="B6" s="9">
        <v>-436941.35</v>
      </c>
      <c r="C6" s="9">
        <f>B43</f>
        <v>-415391.47152999998</v>
      </c>
      <c r="D6" s="9">
        <f>C43</f>
        <v>-409663.83276000002</v>
      </c>
      <c r="E6" s="9">
        <f t="shared" ref="E6:K6" si="0">D43</f>
        <v>-393953.56390000007</v>
      </c>
      <c r="F6" s="9">
        <f t="shared" si="0"/>
        <v>-440238.73882000009</v>
      </c>
      <c r="G6" s="9">
        <f t="shared" si="0"/>
        <v>-353521.27116000012</v>
      </c>
      <c r="H6" s="9">
        <f>G43</f>
        <v>-370479.49280000012</v>
      </c>
      <c r="I6" s="9">
        <f t="shared" si="0"/>
        <v>-491540.4106200001</v>
      </c>
      <c r="J6" s="9">
        <f t="shared" si="0"/>
        <v>-477015.17518000008</v>
      </c>
      <c r="K6" s="9">
        <f t="shared" si="0"/>
        <v>-467262.06937000004</v>
      </c>
      <c r="L6" s="9">
        <f t="shared" ref="L6:M6" si="1">K43</f>
        <v>-413772.04519000003</v>
      </c>
      <c r="M6" s="9">
        <f t="shared" si="1"/>
        <v>-394263.97079000005</v>
      </c>
      <c r="N6" s="9">
        <f>B6</f>
        <v>-436941.35</v>
      </c>
    </row>
    <row r="7" spans="1:18" ht="21" customHeight="1" thickBot="1" x14ac:dyDescent="0.3">
      <c r="A7" s="5" t="s">
        <v>13</v>
      </c>
      <c r="B7" s="9">
        <v>-685438.05</v>
      </c>
      <c r="C7" s="9">
        <f>B45</f>
        <v>-702645.32000000007</v>
      </c>
      <c r="D7" s="9">
        <f>C45</f>
        <v>-725690.13000000012</v>
      </c>
      <c r="E7" s="9">
        <f t="shared" ref="E7:K7" si="2">D45</f>
        <v>-713113.43000000017</v>
      </c>
      <c r="F7" s="9">
        <f t="shared" si="2"/>
        <v>-770444.1100000001</v>
      </c>
      <c r="G7" s="9">
        <f t="shared" si="2"/>
        <v>-707873.37000000011</v>
      </c>
      <c r="H7" s="9">
        <f>G45</f>
        <v>-747928.32000000007</v>
      </c>
      <c r="I7" s="9">
        <f t="shared" si="2"/>
        <v>-734735.58000000007</v>
      </c>
      <c r="J7" s="9">
        <f t="shared" si="2"/>
        <v>-760351.06</v>
      </c>
      <c r="K7" s="9">
        <f t="shared" si="2"/>
        <v>-787817.45000000007</v>
      </c>
      <c r="L7" s="9">
        <f t="shared" ref="L7:M7" si="3">K45</f>
        <v>-766926.14000000013</v>
      </c>
      <c r="M7" s="9">
        <f t="shared" si="3"/>
        <v>-764978.19000000018</v>
      </c>
      <c r="N7" s="9">
        <f>B7</f>
        <v>-685438.05</v>
      </c>
    </row>
    <row r="8" spans="1:18" ht="20.25" customHeight="1" thickBot="1" x14ac:dyDescent="0.3">
      <c r="A8" s="6" t="s">
        <v>12</v>
      </c>
      <c r="B8" s="21">
        <f>SUM(B9:B16)</f>
        <v>129820.70999999999</v>
      </c>
      <c r="C8" s="21">
        <f t="shared" ref="C8:D8" si="4">SUM(C9:C16)</f>
        <v>125921.01</v>
      </c>
      <c r="D8" s="21">
        <f t="shared" si="4"/>
        <v>124396.38</v>
      </c>
      <c r="E8" s="10">
        <f t="shared" ref="E8:M8" si="5">SUM(E9:E15)</f>
        <v>146330.44</v>
      </c>
      <c r="F8" s="10">
        <f t="shared" si="5"/>
        <v>123696.38</v>
      </c>
      <c r="G8" s="10">
        <f t="shared" si="5"/>
        <v>123696.38</v>
      </c>
      <c r="H8" s="10">
        <f t="shared" si="5"/>
        <v>132333.54</v>
      </c>
      <c r="I8" s="10">
        <f t="shared" si="5"/>
        <v>140188.31999999998</v>
      </c>
      <c r="J8" s="10">
        <f t="shared" si="5"/>
        <v>135247.13</v>
      </c>
      <c r="K8" s="10">
        <f t="shared" si="5"/>
        <v>132358.84000000003</v>
      </c>
      <c r="L8" s="10">
        <f t="shared" si="5"/>
        <v>131917.1</v>
      </c>
      <c r="M8" s="10">
        <f t="shared" si="5"/>
        <v>128179.12000000001</v>
      </c>
      <c r="N8" s="10">
        <f t="shared" ref="N8:N13" si="6">SUM(B8:M8)</f>
        <v>1574085.3500000003</v>
      </c>
    </row>
    <row r="9" spans="1:18" ht="24.75" customHeight="1" thickBot="1" x14ac:dyDescent="0.3">
      <c r="A9" s="8" t="s">
        <v>28</v>
      </c>
      <c r="B9" s="17">
        <f t="shared" ref="B9:G9" si="7">114442.44+1494.73</f>
        <v>115937.17</v>
      </c>
      <c r="C9" s="11">
        <f t="shared" si="7"/>
        <v>115937.17</v>
      </c>
      <c r="D9" s="11">
        <f t="shared" si="7"/>
        <v>115937.17</v>
      </c>
      <c r="E9" s="11">
        <f t="shared" si="7"/>
        <v>115937.17</v>
      </c>
      <c r="F9" s="11">
        <f t="shared" si="7"/>
        <v>115937.17</v>
      </c>
      <c r="G9" s="11">
        <f t="shared" si="7"/>
        <v>115937.17</v>
      </c>
      <c r="H9" s="11">
        <f>1494.73+121273.94</f>
        <v>122768.67</v>
      </c>
      <c r="I9" s="11">
        <f>121273.94+1494.73</f>
        <v>122768.67</v>
      </c>
      <c r="J9" s="11">
        <f>121286.83+1494.88</f>
        <v>122781.71</v>
      </c>
      <c r="K9" s="11">
        <f>121286.83+1494.88</f>
        <v>122781.71</v>
      </c>
      <c r="L9" s="11">
        <f>121286.83+1494.88</f>
        <v>122781.71</v>
      </c>
      <c r="M9" s="11">
        <f>121286.83+1494.88</f>
        <v>122781.71</v>
      </c>
      <c r="N9" s="11">
        <f t="shared" si="6"/>
        <v>1432287.2</v>
      </c>
    </row>
    <row r="10" spans="1:18" ht="24.75" hidden="1" customHeight="1" thickBot="1" x14ac:dyDescent="0.3">
      <c r="A10" s="8" t="s">
        <v>26</v>
      </c>
      <c r="B10" s="17"/>
      <c r="C10" s="17"/>
      <c r="D10" s="17"/>
      <c r="E10" s="11"/>
      <c r="F10" s="11"/>
      <c r="G10" s="11"/>
      <c r="H10" s="11"/>
      <c r="I10" s="11"/>
      <c r="J10" s="11"/>
      <c r="K10" s="11"/>
      <c r="L10" s="11"/>
      <c r="M10" s="11"/>
      <c r="N10" s="11">
        <f t="shared" si="6"/>
        <v>0</v>
      </c>
    </row>
    <row r="11" spans="1:18" ht="24.75" customHeight="1" thickBot="1" x14ac:dyDescent="0.3">
      <c r="A11" s="8" t="s">
        <v>15</v>
      </c>
      <c r="B11" s="17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7854.78</v>
      </c>
      <c r="J11" s="11">
        <v>2900.75</v>
      </c>
      <c r="K11" s="11">
        <v>12.46</v>
      </c>
      <c r="L11" s="11">
        <v>0</v>
      </c>
      <c r="M11" s="11">
        <v>0</v>
      </c>
      <c r="N11" s="11">
        <f t="shared" si="6"/>
        <v>10767.989999999998</v>
      </c>
    </row>
    <row r="12" spans="1:18" ht="21.75" customHeight="1" thickBot="1" x14ac:dyDescent="0.3">
      <c r="A12" s="8" t="s">
        <v>16</v>
      </c>
      <c r="B12" s="17">
        <v>409.37</v>
      </c>
      <c r="C12" s="11">
        <v>409.37</v>
      </c>
      <c r="D12" s="11">
        <v>409.41</v>
      </c>
      <c r="E12" s="11">
        <v>409.41</v>
      </c>
      <c r="F12" s="11">
        <v>409.41</v>
      </c>
      <c r="G12" s="11">
        <v>409.41</v>
      </c>
      <c r="H12" s="11">
        <v>452.35</v>
      </c>
      <c r="I12" s="11">
        <v>452.35</v>
      </c>
      <c r="J12" s="11">
        <v>452.27</v>
      </c>
      <c r="K12" s="11">
        <v>452.27</v>
      </c>
      <c r="L12" s="11">
        <v>452.27</v>
      </c>
      <c r="M12" s="11">
        <v>452.27</v>
      </c>
      <c r="N12" s="11">
        <f t="shared" si="6"/>
        <v>5170.16</v>
      </c>
    </row>
    <row r="13" spans="1:18" ht="22.5" customHeight="1" thickBot="1" x14ac:dyDescent="0.3">
      <c r="A13" s="8" t="s">
        <v>17</v>
      </c>
      <c r="B13" s="17">
        <v>5424.37</v>
      </c>
      <c r="C13" s="11">
        <v>1524.67</v>
      </c>
      <c r="D13" s="11">
        <v>0</v>
      </c>
      <c r="E13" s="11">
        <v>22634.06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 t="shared" si="6"/>
        <v>29583.100000000002</v>
      </c>
    </row>
    <row r="14" spans="1:18" ht="22.5" customHeight="1" thickBot="1" x14ac:dyDescent="0.3">
      <c r="A14" s="8" t="s">
        <v>24</v>
      </c>
      <c r="B14" s="17">
        <v>789.8</v>
      </c>
      <c r="C14" s="11">
        <v>789.8</v>
      </c>
      <c r="D14" s="11">
        <v>789.8</v>
      </c>
      <c r="E14" s="11">
        <v>789.8</v>
      </c>
      <c r="F14" s="11">
        <v>789.8</v>
      </c>
      <c r="G14" s="11">
        <v>789.8</v>
      </c>
      <c r="H14" s="11">
        <v>912.52</v>
      </c>
      <c r="I14" s="11">
        <v>912.52</v>
      </c>
      <c r="J14" s="11">
        <v>912.4</v>
      </c>
      <c r="K14" s="11">
        <v>912.4</v>
      </c>
      <c r="L14" s="11">
        <v>483.12</v>
      </c>
      <c r="M14" s="11">
        <v>-3254.86</v>
      </c>
      <c r="N14" s="11">
        <f>SUM(B14:M14)</f>
        <v>5616.9</v>
      </c>
    </row>
    <row r="15" spans="1:18" ht="22.5" customHeight="1" thickBot="1" x14ac:dyDescent="0.3">
      <c r="A15" s="8" t="s">
        <v>42</v>
      </c>
      <c r="B15" s="17">
        <v>6560</v>
      </c>
      <c r="C15" s="11">
        <v>6560</v>
      </c>
      <c r="D15" s="11">
        <v>6560</v>
      </c>
      <c r="E15" s="11">
        <v>6560</v>
      </c>
      <c r="F15" s="11">
        <v>6560</v>
      </c>
      <c r="G15" s="11">
        <v>6560</v>
      </c>
      <c r="H15" s="11">
        <v>8200</v>
      </c>
      <c r="I15" s="11">
        <v>8200</v>
      </c>
      <c r="J15" s="11">
        <v>8200</v>
      </c>
      <c r="K15" s="11">
        <v>8200</v>
      </c>
      <c r="L15" s="11">
        <v>8200</v>
      </c>
      <c r="M15" s="11">
        <v>8200</v>
      </c>
      <c r="N15" s="11">
        <f>SUM(B15:M15)</f>
        <v>88560</v>
      </c>
    </row>
    <row r="16" spans="1:18" ht="22.5" customHeight="1" thickBot="1" x14ac:dyDescent="0.3">
      <c r="A16" s="8" t="s">
        <v>27</v>
      </c>
      <c r="B16" s="17">
        <v>700</v>
      </c>
      <c r="C16" s="17">
        <v>700</v>
      </c>
      <c r="D16" s="17">
        <v>700</v>
      </c>
      <c r="E16" s="17">
        <v>700</v>
      </c>
      <c r="F16" s="17">
        <v>700</v>
      </c>
      <c r="G16" s="17">
        <v>700</v>
      </c>
      <c r="H16" s="17">
        <v>700</v>
      </c>
      <c r="I16" s="17">
        <v>700</v>
      </c>
      <c r="J16" s="17">
        <v>700</v>
      </c>
      <c r="K16" s="17">
        <v>700</v>
      </c>
      <c r="L16" s="17">
        <v>700</v>
      </c>
      <c r="M16" s="17">
        <v>700</v>
      </c>
      <c r="N16" s="11">
        <f>SUM(B16:M16)</f>
        <v>8400</v>
      </c>
    </row>
    <row r="17" spans="1:15" ht="20.25" customHeight="1" thickBot="1" x14ac:dyDescent="0.3">
      <c r="A17" s="29" t="s">
        <v>8</v>
      </c>
      <c r="B17" s="30">
        <f>SUM(B18:B25)</f>
        <v>112613.43999999999</v>
      </c>
      <c r="C17" s="30">
        <f t="shared" ref="C17:D17" si="8">SUM(C18:C25)</f>
        <v>102876.19999999998</v>
      </c>
      <c r="D17" s="30">
        <f t="shared" si="8"/>
        <v>136973.07999999999</v>
      </c>
      <c r="E17" s="31">
        <f t="shared" ref="E17:M17" si="9">SUM(E18:E24)</f>
        <v>88999.76</v>
      </c>
      <c r="F17" s="31">
        <f t="shared" si="9"/>
        <v>186267.11999999997</v>
      </c>
      <c r="G17" s="31">
        <f t="shared" si="9"/>
        <v>83641.430000000008</v>
      </c>
      <c r="H17" s="31">
        <f t="shared" si="9"/>
        <v>145526.28</v>
      </c>
      <c r="I17" s="31">
        <f t="shared" si="9"/>
        <v>114572.84</v>
      </c>
      <c r="J17" s="31">
        <f t="shared" si="9"/>
        <v>107780.74</v>
      </c>
      <c r="K17" s="31">
        <f t="shared" si="9"/>
        <v>153250.15</v>
      </c>
      <c r="L17" s="31">
        <f t="shared" si="9"/>
        <v>123488.81</v>
      </c>
      <c r="M17" s="31">
        <f t="shared" si="9"/>
        <v>151827.55000000005</v>
      </c>
      <c r="N17" s="31">
        <f>SUM(B17:M17)</f>
        <v>1507817.4000000001</v>
      </c>
    </row>
    <row r="18" spans="1:15" ht="24" customHeight="1" thickBot="1" x14ac:dyDescent="0.3">
      <c r="A18" s="8" t="s">
        <v>28</v>
      </c>
      <c r="B18" s="11">
        <f>101725.51+1394.92</f>
        <v>103120.43</v>
      </c>
      <c r="C18" s="11">
        <f>89237.15+1371.99</f>
        <v>90609.14</v>
      </c>
      <c r="D18" s="11">
        <f>1780.34+125097.36</f>
        <v>126877.7</v>
      </c>
      <c r="E18" s="11">
        <f>80231.91+1707.5</f>
        <v>81939.41</v>
      </c>
      <c r="F18" s="11">
        <f>148236.22+9394.64</f>
        <v>157630.85999999999</v>
      </c>
      <c r="G18" s="11">
        <f>76107.33+883.71</f>
        <v>76991.040000000008</v>
      </c>
      <c r="H18" s="11">
        <f>1809.96+134265.6</f>
        <v>136075.56</v>
      </c>
      <c r="I18" s="11">
        <f>104692.52+1340.3</f>
        <v>106032.82</v>
      </c>
      <c r="J18" s="11">
        <f>92372.78+1071.64</f>
        <v>93444.42</v>
      </c>
      <c r="K18" s="11">
        <f>138498.43+1838.84</f>
        <v>140337.26999999999</v>
      </c>
      <c r="L18" s="11">
        <f>111530.5+1434.25</f>
        <v>112964.75</v>
      </c>
      <c r="M18" s="11">
        <f>136401.81+2256.32</f>
        <v>138658.13</v>
      </c>
      <c r="N18" s="11">
        <f>SUM(B18:M18)</f>
        <v>1364681.5300000003</v>
      </c>
      <c r="O18" s="24"/>
    </row>
    <row r="19" spans="1:15" ht="24" hidden="1" customHeight="1" thickBot="1" x14ac:dyDescent="0.3">
      <c r="A19" s="8" t="s">
        <v>26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>
        <f t="shared" ref="N19:N25" si="10">SUM(B19:M19)</f>
        <v>0</v>
      </c>
    </row>
    <row r="20" spans="1:15" ht="26.25" customHeight="1" thickBot="1" x14ac:dyDescent="0.3">
      <c r="A20" s="8" t="s">
        <v>15</v>
      </c>
      <c r="B20" s="11">
        <v>220.47</v>
      </c>
      <c r="C20" s="11">
        <v>65.11</v>
      </c>
      <c r="D20" s="11">
        <v>186.64</v>
      </c>
      <c r="E20" s="11">
        <v>39.04</v>
      </c>
      <c r="F20" s="11">
        <v>322.47000000000003</v>
      </c>
      <c r="G20" s="11">
        <v>17.329999999999998</v>
      </c>
      <c r="H20" s="11">
        <v>205.87</v>
      </c>
      <c r="I20" s="11">
        <v>77.790000000000006</v>
      </c>
      <c r="J20" s="11">
        <v>4878.18</v>
      </c>
      <c r="K20" s="11">
        <v>3019.46</v>
      </c>
      <c r="L20" s="11">
        <v>355.55</v>
      </c>
      <c r="M20" s="11">
        <v>147.94999999999999</v>
      </c>
      <c r="N20" s="11">
        <f t="shared" si="10"/>
        <v>9535.86</v>
      </c>
    </row>
    <row r="21" spans="1:15" ht="26.25" customHeight="1" thickBot="1" x14ac:dyDescent="0.3">
      <c r="A21" s="8" t="s">
        <v>16</v>
      </c>
      <c r="B21" s="11">
        <v>365.5</v>
      </c>
      <c r="C21" s="11">
        <v>335.9</v>
      </c>
      <c r="D21" s="11">
        <v>458.09</v>
      </c>
      <c r="E21" s="11">
        <v>301.60000000000002</v>
      </c>
      <c r="F21" s="11">
        <v>599.54999999999995</v>
      </c>
      <c r="G21" s="11">
        <v>278.89</v>
      </c>
      <c r="H21" s="11">
        <v>511.51</v>
      </c>
      <c r="I21" s="11">
        <v>389.76</v>
      </c>
      <c r="J21" s="11">
        <v>343.51</v>
      </c>
      <c r="K21" s="11">
        <v>516.45000000000005</v>
      </c>
      <c r="L21" s="11">
        <v>419.89</v>
      </c>
      <c r="M21" s="11">
        <v>532.39</v>
      </c>
      <c r="N21" s="11">
        <f t="shared" si="10"/>
        <v>5053.0400000000009</v>
      </c>
    </row>
    <row r="22" spans="1:15" ht="24" customHeight="1" thickBot="1" x14ac:dyDescent="0.3">
      <c r="A22" s="8" t="s">
        <v>17</v>
      </c>
      <c r="B22" s="11">
        <v>577.54999999999995</v>
      </c>
      <c r="C22" s="11">
        <v>3544.18</v>
      </c>
      <c r="D22" s="11">
        <v>2202.25</v>
      </c>
      <c r="E22" s="11">
        <v>147.61000000000001</v>
      </c>
      <c r="F22" s="11">
        <v>17664.27</v>
      </c>
      <c r="G22" s="11">
        <v>356.45</v>
      </c>
      <c r="H22" s="11">
        <v>1408.24</v>
      </c>
      <c r="I22" s="11">
        <v>504.06</v>
      </c>
      <c r="J22" s="11">
        <v>353.6</v>
      </c>
      <c r="K22" s="11">
        <v>1000</v>
      </c>
      <c r="L22" s="11">
        <v>430.56</v>
      </c>
      <c r="M22" s="11">
        <v>1011.76</v>
      </c>
      <c r="N22" s="11">
        <f t="shared" si="10"/>
        <v>29200.530000000002</v>
      </c>
    </row>
    <row r="23" spans="1:15" ht="24" customHeight="1" thickBot="1" x14ac:dyDescent="0.3">
      <c r="A23" s="8" t="s">
        <v>24</v>
      </c>
      <c r="B23" s="11">
        <v>714.93</v>
      </c>
      <c r="C23" s="11">
        <v>616.54999999999995</v>
      </c>
      <c r="D23" s="11">
        <v>900.59</v>
      </c>
      <c r="E23" s="11">
        <v>555.30999999999995</v>
      </c>
      <c r="F23" s="11">
        <v>1057.31</v>
      </c>
      <c r="G23" s="11">
        <v>525.98</v>
      </c>
      <c r="H23" s="11">
        <v>953.45</v>
      </c>
      <c r="I23" s="11">
        <v>784.66</v>
      </c>
      <c r="J23" s="11">
        <v>690.72</v>
      </c>
      <c r="K23" s="11">
        <v>1041.8499999999999</v>
      </c>
      <c r="L23" s="11">
        <v>839.61</v>
      </c>
      <c r="M23" s="11">
        <v>695.92</v>
      </c>
      <c r="N23" s="11">
        <f t="shared" si="10"/>
        <v>9376.880000000001</v>
      </c>
    </row>
    <row r="24" spans="1:15" ht="24" customHeight="1" thickBot="1" x14ac:dyDescent="0.3">
      <c r="A24" s="8" t="s">
        <v>42</v>
      </c>
      <c r="B24" s="11">
        <v>5914.56</v>
      </c>
      <c r="C24" s="11">
        <v>7205.32</v>
      </c>
      <c r="D24" s="11">
        <v>5847.81</v>
      </c>
      <c r="E24" s="28">
        <v>6016.79</v>
      </c>
      <c r="F24" s="28">
        <v>8992.66</v>
      </c>
      <c r="G24" s="28">
        <v>5471.74</v>
      </c>
      <c r="H24" s="11">
        <v>6371.65</v>
      </c>
      <c r="I24" s="11">
        <v>6783.75</v>
      </c>
      <c r="J24" s="11">
        <v>8070.31</v>
      </c>
      <c r="K24" s="11">
        <v>7335.12</v>
      </c>
      <c r="L24" s="11">
        <v>8478.4500000000007</v>
      </c>
      <c r="M24" s="11">
        <v>10781.4</v>
      </c>
      <c r="N24" s="11">
        <f t="shared" si="10"/>
        <v>87269.559999999983</v>
      </c>
    </row>
    <row r="25" spans="1:15" ht="24" customHeight="1" thickBot="1" x14ac:dyDescent="0.3">
      <c r="A25" s="8" t="s">
        <v>27</v>
      </c>
      <c r="B25" s="11">
        <v>1700</v>
      </c>
      <c r="C25" s="11">
        <v>500</v>
      </c>
      <c r="D25" s="23">
        <v>500</v>
      </c>
      <c r="E25" s="28">
        <v>600</v>
      </c>
      <c r="F25" s="28">
        <v>500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11">
        <v>500</v>
      </c>
      <c r="N25" s="11">
        <f t="shared" si="10"/>
        <v>4300</v>
      </c>
    </row>
    <row r="26" spans="1:15" ht="21.75" customHeight="1" thickBot="1" x14ac:dyDescent="0.3">
      <c r="A26" s="7" t="s">
        <v>22</v>
      </c>
      <c r="B26" s="16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1"/>
    </row>
    <row r="27" spans="1:15" ht="19.5" customHeight="1" thickBot="1" x14ac:dyDescent="0.3">
      <c r="A27" s="8" t="s">
        <v>1</v>
      </c>
      <c r="B27" s="11">
        <f>5978.2*0.6</f>
        <v>3586.9199999999996</v>
      </c>
      <c r="C27" s="11">
        <f t="shared" ref="C27:M27" si="11">5978.2*0.6</f>
        <v>3586.9199999999996</v>
      </c>
      <c r="D27" s="11">
        <f t="shared" si="11"/>
        <v>3586.9199999999996</v>
      </c>
      <c r="E27" s="11">
        <f t="shared" si="11"/>
        <v>3586.9199999999996</v>
      </c>
      <c r="F27" s="11">
        <f t="shared" si="11"/>
        <v>3586.9199999999996</v>
      </c>
      <c r="G27" s="11">
        <f t="shared" si="11"/>
        <v>3586.9199999999996</v>
      </c>
      <c r="H27" s="11">
        <f t="shared" si="11"/>
        <v>3586.9199999999996</v>
      </c>
      <c r="I27" s="11">
        <f t="shared" si="11"/>
        <v>3586.9199999999996</v>
      </c>
      <c r="J27" s="11">
        <f t="shared" si="11"/>
        <v>3586.9199999999996</v>
      </c>
      <c r="K27" s="11">
        <f t="shared" si="11"/>
        <v>3586.9199999999996</v>
      </c>
      <c r="L27" s="11">
        <f t="shared" si="11"/>
        <v>3586.9199999999996</v>
      </c>
      <c r="M27" s="11">
        <f t="shared" si="11"/>
        <v>3586.9199999999996</v>
      </c>
      <c r="N27" s="11">
        <f>SUM(B27:M27)</f>
        <v>43043.039999999986</v>
      </c>
    </row>
    <row r="28" spans="1:15" ht="22.5" customHeight="1" thickBot="1" x14ac:dyDescent="0.3">
      <c r="A28" s="8" t="s">
        <v>2</v>
      </c>
      <c r="B28" s="11">
        <f>5978.2*0.17</f>
        <v>1016.2940000000001</v>
      </c>
      <c r="C28" s="11">
        <f t="shared" ref="C28:M28" si="12">5978.2*0.17</f>
        <v>1016.2940000000001</v>
      </c>
      <c r="D28" s="11">
        <f t="shared" si="12"/>
        <v>1016.2940000000001</v>
      </c>
      <c r="E28" s="11">
        <f t="shared" si="12"/>
        <v>1016.2940000000001</v>
      </c>
      <c r="F28" s="11">
        <f t="shared" si="12"/>
        <v>1016.2940000000001</v>
      </c>
      <c r="G28" s="11">
        <f t="shared" si="12"/>
        <v>1016.2940000000001</v>
      </c>
      <c r="H28" s="11">
        <f t="shared" si="12"/>
        <v>1016.2940000000001</v>
      </c>
      <c r="I28" s="11">
        <f t="shared" si="12"/>
        <v>1016.2940000000001</v>
      </c>
      <c r="J28" s="11">
        <f t="shared" si="12"/>
        <v>1016.2940000000001</v>
      </c>
      <c r="K28" s="11">
        <f t="shared" si="12"/>
        <v>1016.2940000000001</v>
      </c>
      <c r="L28" s="11">
        <f t="shared" si="12"/>
        <v>1016.2940000000001</v>
      </c>
      <c r="M28" s="11">
        <f t="shared" si="12"/>
        <v>1016.2940000000001</v>
      </c>
      <c r="N28" s="11">
        <f t="shared" ref="N28:N40" si="13">SUM(B28:M28)</f>
        <v>12195.528</v>
      </c>
    </row>
    <row r="29" spans="1:15" ht="21" customHeight="1" thickBot="1" x14ac:dyDescent="0.3">
      <c r="A29" s="8" t="s">
        <v>3</v>
      </c>
      <c r="B29" s="11">
        <f>129120.71*2.3%</f>
        <v>2969.7763300000001</v>
      </c>
      <c r="C29" s="11">
        <f>125221.01*2.3%</f>
        <v>2880.0832299999997</v>
      </c>
      <c r="D29" s="11">
        <f>123696.38*2.3%</f>
        <v>2845.01674</v>
      </c>
      <c r="E29" s="11">
        <f>146330.44*2.3%</f>
        <v>3365.6001200000001</v>
      </c>
      <c r="F29" s="11">
        <f>123696.38*2.3%</f>
        <v>2845.01674</v>
      </c>
      <c r="G29" s="11">
        <f>123696.38*2.3%</f>
        <v>2845.01674</v>
      </c>
      <c r="H29" s="11">
        <f>132333.54*2.3%</f>
        <v>3043.6714200000001</v>
      </c>
      <c r="I29" s="11">
        <f>140188.32*2.3%</f>
        <v>3224.3313600000001</v>
      </c>
      <c r="J29" s="11">
        <f>135247.13*2.3%</f>
        <v>3110.68399</v>
      </c>
      <c r="K29" s="11">
        <f>132358.84*2.3%</f>
        <v>3044.2533199999998</v>
      </c>
      <c r="L29" s="11">
        <f>131917.1*2.3%</f>
        <v>3034.0933</v>
      </c>
      <c r="M29" s="11">
        <f>128179.12*2.3%</f>
        <v>2948.11976</v>
      </c>
      <c r="N29" s="11">
        <f t="shared" si="13"/>
        <v>36155.663049999996</v>
      </c>
    </row>
    <row r="30" spans="1:15" ht="23.25" customHeight="1" thickBot="1" x14ac:dyDescent="0.3">
      <c r="A30" s="8" t="s">
        <v>4</v>
      </c>
      <c r="B30" s="11">
        <f>110913.44*3%</f>
        <v>3327.4031999999997</v>
      </c>
      <c r="C30" s="11">
        <f>102376.2*3%</f>
        <v>3071.2859999999996</v>
      </c>
      <c r="D30" s="11">
        <f>136473.08*3%</f>
        <v>4094.1923999999995</v>
      </c>
      <c r="E30" s="11">
        <f>88999.76*3%</f>
        <v>2669.9927999999995</v>
      </c>
      <c r="F30" s="11">
        <f>186267.12*3%</f>
        <v>5588.0135999999993</v>
      </c>
      <c r="G30" s="11">
        <f>83641.43*3%</f>
        <v>2509.2428999999997</v>
      </c>
      <c r="H30" s="11">
        <f>145526.28*3%</f>
        <v>4365.7883999999995</v>
      </c>
      <c r="I30" s="11">
        <f>114572.84*3%</f>
        <v>3437.1851999999999</v>
      </c>
      <c r="J30" s="11">
        <f>107780.74*3%</f>
        <v>3233.4222</v>
      </c>
      <c r="K30" s="11">
        <f>153250.15*3%</f>
        <v>4597.5045</v>
      </c>
      <c r="L30" s="11">
        <f>123488.81*3%</f>
        <v>3704.6642999999999</v>
      </c>
      <c r="M30" s="11">
        <f>151827.55*3%</f>
        <v>4554.8264999999992</v>
      </c>
      <c r="N30" s="11">
        <f t="shared" si="13"/>
        <v>45153.521999999997</v>
      </c>
    </row>
    <row r="31" spans="1:15" ht="23.25" customHeight="1" thickBot="1" x14ac:dyDescent="0.3">
      <c r="A31" s="8" t="s">
        <v>9</v>
      </c>
      <c r="B31" s="11">
        <f>5978.2*9.7</f>
        <v>57988.539999999994</v>
      </c>
      <c r="C31" s="11">
        <f t="shared" ref="C31:M31" si="14">5978.2*9.7</f>
        <v>57988.539999999994</v>
      </c>
      <c r="D31" s="11">
        <f t="shared" si="14"/>
        <v>57988.539999999994</v>
      </c>
      <c r="E31" s="11">
        <f t="shared" si="14"/>
        <v>57988.539999999994</v>
      </c>
      <c r="F31" s="11">
        <f t="shared" si="14"/>
        <v>57988.539999999994</v>
      </c>
      <c r="G31" s="11">
        <f t="shared" si="14"/>
        <v>57988.539999999994</v>
      </c>
      <c r="H31" s="11">
        <f t="shared" si="14"/>
        <v>57988.539999999994</v>
      </c>
      <c r="I31" s="11">
        <f t="shared" si="14"/>
        <v>57988.539999999994</v>
      </c>
      <c r="J31" s="11">
        <f t="shared" si="14"/>
        <v>57988.539999999994</v>
      </c>
      <c r="K31" s="11">
        <f t="shared" si="14"/>
        <v>57988.539999999994</v>
      </c>
      <c r="L31" s="11">
        <f t="shared" si="14"/>
        <v>57988.539999999994</v>
      </c>
      <c r="M31" s="11">
        <f t="shared" si="14"/>
        <v>57988.539999999994</v>
      </c>
      <c r="N31" s="11">
        <f t="shared" si="13"/>
        <v>695862.48</v>
      </c>
    </row>
    <row r="32" spans="1:15" ht="26.25" customHeight="1" thickBot="1" x14ac:dyDescent="0.3">
      <c r="A32" s="8" t="s">
        <v>18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f>7441.66+875.38</f>
        <v>8317.0399999999991</v>
      </c>
      <c r="I32" s="11">
        <f>2748.11+323.27</f>
        <v>3071.38</v>
      </c>
      <c r="J32" s="11">
        <f>11.74+1.38</f>
        <v>13.120000000000001</v>
      </c>
      <c r="K32" s="11">
        <v>0</v>
      </c>
      <c r="L32" s="11">
        <v>0</v>
      </c>
      <c r="M32" s="11">
        <v>0</v>
      </c>
      <c r="N32" s="11">
        <f t="shared" si="13"/>
        <v>11401.539999999999</v>
      </c>
    </row>
    <row r="33" spans="1:17" ht="26.25" customHeight="1" thickBot="1" x14ac:dyDescent="0.3">
      <c r="A33" s="8" t="s">
        <v>19</v>
      </c>
      <c r="B33" s="11">
        <v>650.16999999999996</v>
      </c>
      <c r="C33" s="11">
        <v>650.16999999999996</v>
      </c>
      <c r="D33" s="11">
        <v>650.16999999999996</v>
      </c>
      <c r="E33" s="11">
        <v>650.16999999999996</v>
      </c>
      <c r="F33" s="11">
        <v>650.16999999999996</v>
      </c>
      <c r="G33" s="11">
        <v>650.16999999999996</v>
      </c>
      <c r="H33" s="11">
        <v>718.33</v>
      </c>
      <c r="I33" s="11">
        <v>718.33</v>
      </c>
      <c r="J33" s="11">
        <v>718.33</v>
      </c>
      <c r="K33" s="11">
        <v>718.33</v>
      </c>
      <c r="L33" s="11">
        <v>718.33</v>
      </c>
      <c r="M33" s="11">
        <v>718.33</v>
      </c>
      <c r="N33" s="11">
        <f t="shared" si="13"/>
        <v>8211</v>
      </c>
    </row>
    <row r="34" spans="1:17" ht="26.25" customHeight="1" thickBot="1" x14ac:dyDescent="0.3">
      <c r="A34" s="8" t="s">
        <v>20</v>
      </c>
      <c r="B34" s="11">
        <v>1614.35</v>
      </c>
      <c r="C34" s="11">
        <v>0</v>
      </c>
      <c r="D34" s="11">
        <v>23966.25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 t="shared" si="13"/>
        <v>25580.6</v>
      </c>
    </row>
    <row r="35" spans="1:17" s="15" customFormat="1" ht="26.25" customHeight="1" thickBot="1" x14ac:dyDescent="0.3">
      <c r="A35" s="13" t="s">
        <v>24</v>
      </c>
      <c r="B35" s="14">
        <v>836.38</v>
      </c>
      <c r="C35" s="14">
        <v>836.38</v>
      </c>
      <c r="D35" s="14">
        <v>836.38</v>
      </c>
      <c r="E35" s="14">
        <v>836.38</v>
      </c>
      <c r="F35" s="14">
        <v>836.38</v>
      </c>
      <c r="G35" s="14">
        <v>836.38</v>
      </c>
      <c r="H35" s="14">
        <v>483.17</v>
      </c>
      <c r="I35" s="14">
        <v>483.17</v>
      </c>
      <c r="J35" s="14">
        <v>483.17</v>
      </c>
      <c r="K35" s="14">
        <v>483.17</v>
      </c>
      <c r="L35" s="14">
        <v>483.17</v>
      </c>
      <c r="M35" s="14">
        <v>483.17</v>
      </c>
      <c r="N35" s="11">
        <f t="shared" si="13"/>
        <v>7917.3</v>
      </c>
    </row>
    <row r="36" spans="1:17" ht="22.5" customHeight="1" thickBot="1" x14ac:dyDescent="0.3">
      <c r="A36" s="8" t="s">
        <v>6</v>
      </c>
      <c r="B36" s="11">
        <f>5978.2*3.04</f>
        <v>18173.727999999999</v>
      </c>
      <c r="C36" s="11">
        <f t="shared" ref="C36:G36" si="15">5978.2*3.04</f>
        <v>18173.727999999999</v>
      </c>
      <c r="D36" s="11">
        <f t="shared" si="15"/>
        <v>18173.727999999999</v>
      </c>
      <c r="E36" s="11">
        <f t="shared" si="15"/>
        <v>18173.727999999999</v>
      </c>
      <c r="F36" s="11">
        <f t="shared" si="15"/>
        <v>18173.727999999999</v>
      </c>
      <c r="G36" s="11">
        <f t="shared" si="15"/>
        <v>18173.727999999999</v>
      </c>
      <c r="H36" s="11">
        <f>5978.2*3.22</f>
        <v>19249.804</v>
      </c>
      <c r="I36" s="11">
        <f t="shared" ref="I36:M36" si="16">5978.2*3.22</f>
        <v>19249.804</v>
      </c>
      <c r="J36" s="11">
        <f t="shared" si="16"/>
        <v>19249.804</v>
      </c>
      <c r="K36" s="11">
        <f t="shared" si="16"/>
        <v>19249.804</v>
      </c>
      <c r="L36" s="11">
        <f t="shared" si="16"/>
        <v>19249.804</v>
      </c>
      <c r="M36" s="11">
        <f t="shared" si="16"/>
        <v>19249.804</v>
      </c>
      <c r="N36" s="11">
        <f t="shared" si="13"/>
        <v>224541.19200000001</v>
      </c>
    </row>
    <row r="37" spans="1:17" ht="21.75" customHeight="1" thickBot="1" x14ac:dyDescent="0.3">
      <c r="A37" s="8" t="s">
        <v>42</v>
      </c>
      <c r="B37" s="11">
        <v>0</v>
      </c>
      <c r="C37" s="20">
        <v>3417.19</v>
      </c>
      <c r="D37" s="20">
        <v>4106.72</v>
      </c>
      <c r="E37" s="20">
        <v>3333.47</v>
      </c>
      <c r="F37" s="20">
        <v>3429.75</v>
      </c>
      <c r="G37" s="20">
        <v>5125.8599999999997</v>
      </c>
      <c r="H37" s="20">
        <v>3118.22</v>
      </c>
      <c r="I37" s="11">
        <v>3632.15</v>
      </c>
      <c r="J37" s="11">
        <v>3912.62</v>
      </c>
      <c r="K37" s="11">
        <v>4600.22</v>
      </c>
      <c r="L37" s="11">
        <v>4180.58</v>
      </c>
      <c r="M37" s="11">
        <v>4832.91</v>
      </c>
      <c r="N37" s="11">
        <f t="shared" si="13"/>
        <v>43689.69</v>
      </c>
    </row>
    <row r="38" spans="1:17" ht="21.75" customHeight="1" thickBot="1" x14ac:dyDescent="0.3">
      <c r="A38" s="8" t="s">
        <v>43</v>
      </c>
      <c r="B38" s="11">
        <v>0</v>
      </c>
      <c r="C38" s="11">
        <f>1798.37+779</f>
        <v>2577.37</v>
      </c>
      <c r="D38" s="11">
        <f>2161.6+937</f>
        <v>3098.6</v>
      </c>
      <c r="E38" s="11">
        <f>460+1754.34</f>
        <v>2214.34</v>
      </c>
      <c r="F38" s="11">
        <f>782+1805.04</f>
        <v>2587.04</v>
      </c>
      <c r="G38" s="11">
        <f>1169+2697.8</f>
        <v>3866.8</v>
      </c>
      <c r="H38" s="11">
        <f>712+1641.52</f>
        <v>2353.52</v>
      </c>
      <c r="I38" s="11">
        <f>828+1911.5</f>
        <v>2739.5</v>
      </c>
      <c r="J38" s="11">
        <f>892+2059.13</f>
        <v>2951.13</v>
      </c>
      <c r="K38" s="11">
        <f>1049+2421.09</f>
        <v>3470.09</v>
      </c>
      <c r="L38" s="11">
        <f>954+2200.54</f>
        <v>3154.54</v>
      </c>
      <c r="M38" s="11">
        <f>1102+2543.54</f>
        <v>3645.54</v>
      </c>
      <c r="N38" s="11">
        <f t="shared" si="13"/>
        <v>32658.47</v>
      </c>
    </row>
    <row r="39" spans="1:17" ht="24.75" customHeight="1" thickBot="1" x14ac:dyDescent="0.3">
      <c r="A39" s="8" t="s">
        <v>23</v>
      </c>
      <c r="B39" s="11">
        <f>900</f>
        <v>900</v>
      </c>
      <c r="C39" s="11">
        <f>900</f>
        <v>900</v>
      </c>
      <c r="D39" s="11">
        <f>900</f>
        <v>900</v>
      </c>
      <c r="E39" s="11">
        <f>900</f>
        <v>900</v>
      </c>
      <c r="F39" s="11">
        <f>900</f>
        <v>900</v>
      </c>
      <c r="G39" s="11">
        <f>900</f>
        <v>900</v>
      </c>
      <c r="H39" s="11">
        <v>900</v>
      </c>
      <c r="I39" s="11">
        <v>900</v>
      </c>
      <c r="J39" s="11">
        <v>900</v>
      </c>
      <c r="K39" s="11">
        <v>900</v>
      </c>
      <c r="L39" s="11">
        <v>900</v>
      </c>
      <c r="M39" s="11">
        <v>900</v>
      </c>
      <c r="N39" s="11">
        <f t="shared" si="13"/>
        <v>10800</v>
      </c>
    </row>
    <row r="40" spans="1:17" ht="24" customHeight="1" thickBot="1" x14ac:dyDescent="0.3">
      <c r="A40" s="8" t="s">
        <v>10</v>
      </c>
      <c r="B40" s="11">
        <v>0</v>
      </c>
      <c r="C40" s="11">
        <f>2050.6</f>
        <v>2050.6</v>
      </c>
      <c r="D40" s="11">
        <v>0</v>
      </c>
      <c r="E40" s="11">
        <f>3749.3+2319.4+32897.8+1583</f>
        <v>40549.5</v>
      </c>
      <c r="F40" s="11">
        <f>1947.8</f>
        <v>1947.8</v>
      </c>
      <c r="G40" s="11">
        <f>210+2890.7</f>
        <v>3100.7</v>
      </c>
      <c r="H40" s="11">
        <f>2603.1+22580.2+1683.4+46079.2+5584+82916</f>
        <v>161445.9</v>
      </c>
      <c r="I40" s="11">
        <v>0</v>
      </c>
      <c r="J40" s="11">
        <f>863.6</f>
        <v>863.6</v>
      </c>
      <c r="K40" s="11">
        <f>105</f>
        <v>105</v>
      </c>
      <c r="L40" s="11">
        <f>3197.1+2766.7</f>
        <v>5963.7999999999993</v>
      </c>
      <c r="M40" s="11">
        <f>19634.9+525</f>
        <v>20159.900000000001</v>
      </c>
      <c r="N40" s="11">
        <f t="shared" si="13"/>
        <v>236186.8</v>
      </c>
    </row>
    <row r="41" spans="1:17" ht="22.5" customHeight="1" thickBot="1" x14ac:dyDescent="0.3">
      <c r="A41" s="6" t="s">
        <v>21</v>
      </c>
      <c r="B41" s="19">
        <f t="shared" ref="B41:N41" si="17">SUM(B27:B40)</f>
        <v>91063.561530000006</v>
      </c>
      <c r="C41" s="19">
        <f t="shared" si="17"/>
        <v>97148.561230000007</v>
      </c>
      <c r="D41" s="19">
        <f t="shared" si="17"/>
        <v>121262.81114000001</v>
      </c>
      <c r="E41" s="19">
        <f t="shared" si="17"/>
        <v>135284.93492</v>
      </c>
      <c r="F41" s="19">
        <f t="shared" si="17"/>
        <v>99549.652340000001</v>
      </c>
      <c r="G41" s="19">
        <f t="shared" si="17"/>
        <v>100599.65164</v>
      </c>
      <c r="H41" s="19">
        <f t="shared" si="17"/>
        <v>266587.19782</v>
      </c>
      <c r="I41" s="19">
        <f t="shared" si="17"/>
        <v>100047.60455999999</v>
      </c>
      <c r="J41" s="19">
        <f t="shared" si="17"/>
        <v>98027.634189999997</v>
      </c>
      <c r="K41" s="19">
        <f t="shared" si="17"/>
        <v>99760.125819999987</v>
      </c>
      <c r="L41" s="19">
        <f t="shared" si="17"/>
        <v>103980.7356</v>
      </c>
      <c r="M41" s="19">
        <f t="shared" si="17"/>
        <v>120084.35425999999</v>
      </c>
      <c r="N41" s="10">
        <f t="shared" si="17"/>
        <v>1433396.8250499999</v>
      </c>
      <c r="Q41" s="22"/>
    </row>
    <row r="42" spans="1:17" ht="23.25" customHeight="1" thickBot="1" x14ac:dyDescent="0.3">
      <c r="A42" s="18" t="s">
        <v>5</v>
      </c>
      <c r="B42" s="25">
        <f t="shared" ref="B42:N42" si="18">B17-B41</f>
        <v>21549.878469999981</v>
      </c>
      <c r="C42" s="25">
        <f t="shared" si="18"/>
        <v>5727.6387699999759</v>
      </c>
      <c r="D42" s="25">
        <f t="shared" si="18"/>
        <v>15710.268859999982</v>
      </c>
      <c r="E42" s="25">
        <f t="shared" si="18"/>
        <v>-46285.174920000005</v>
      </c>
      <c r="F42" s="25">
        <f t="shared" si="18"/>
        <v>86717.467659999966</v>
      </c>
      <c r="G42" s="25">
        <f t="shared" si="18"/>
        <v>-16958.221639999989</v>
      </c>
      <c r="H42" s="25">
        <f t="shared" si="18"/>
        <v>-121060.91782</v>
      </c>
      <c r="I42" s="25">
        <f t="shared" si="18"/>
        <v>14525.235440000004</v>
      </c>
      <c r="J42" s="25">
        <f t="shared" si="18"/>
        <v>9753.1058100000082</v>
      </c>
      <c r="K42" s="25">
        <f t="shared" si="18"/>
        <v>53490.024180000008</v>
      </c>
      <c r="L42" s="25">
        <f t="shared" si="18"/>
        <v>19508.074399999998</v>
      </c>
      <c r="M42" s="25">
        <f t="shared" si="18"/>
        <v>31743.195740000054</v>
      </c>
      <c r="N42" s="25">
        <f t="shared" si="18"/>
        <v>74420.574950000271</v>
      </c>
    </row>
    <row r="43" spans="1:17" ht="23.25" customHeight="1" thickBot="1" x14ac:dyDescent="0.3">
      <c r="A43" s="18" t="s">
        <v>7</v>
      </c>
      <c r="B43" s="26">
        <f t="shared" ref="B43:N43" si="19">B6+B42</f>
        <v>-415391.47152999998</v>
      </c>
      <c r="C43" s="26">
        <f t="shared" si="19"/>
        <v>-409663.83276000002</v>
      </c>
      <c r="D43" s="26">
        <f t="shared" si="19"/>
        <v>-393953.56390000007</v>
      </c>
      <c r="E43" s="26">
        <f t="shared" si="19"/>
        <v>-440238.73882000009</v>
      </c>
      <c r="F43" s="26">
        <f t="shared" si="19"/>
        <v>-353521.27116000012</v>
      </c>
      <c r="G43" s="26">
        <f t="shared" si="19"/>
        <v>-370479.49280000012</v>
      </c>
      <c r="H43" s="26">
        <f t="shared" si="19"/>
        <v>-491540.4106200001</v>
      </c>
      <c r="I43" s="26">
        <f t="shared" si="19"/>
        <v>-477015.17518000008</v>
      </c>
      <c r="J43" s="26">
        <f t="shared" si="19"/>
        <v>-467262.06937000004</v>
      </c>
      <c r="K43" s="26">
        <f t="shared" si="19"/>
        <v>-413772.04519000003</v>
      </c>
      <c r="L43" s="26">
        <f t="shared" si="19"/>
        <v>-394263.97079000005</v>
      </c>
      <c r="M43" s="26">
        <f t="shared" si="19"/>
        <v>-362520.77505</v>
      </c>
      <c r="N43" s="26">
        <f t="shared" si="19"/>
        <v>-362520.77504999971</v>
      </c>
      <c r="P43" s="22"/>
    </row>
    <row r="44" spans="1:17" ht="23.25" customHeight="1" thickBot="1" x14ac:dyDescent="0.3">
      <c r="A44" s="18" t="s">
        <v>45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36">
        <v>0</v>
      </c>
      <c r="L44" s="36">
        <v>10376.24</v>
      </c>
      <c r="M44" s="36">
        <v>0</v>
      </c>
      <c r="N44" s="36">
        <f>SUM(B44:M44)</f>
        <v>10376.24</v>
      </c>
    </row>
    <row r="45" spans="1:17" ht="27" customHeight="1" thickBot="1" x14ac:dyDescent="0.3">
      <c r="A45" s="7" t="s">
        <v>11</v>
      </c>
      <c r="B45" s="27">
        <f>B7+B17-B8</f>
        <v>-702645.32000000007</v>
      </c>
      <c r="C45" s="27">
        <f t="shared" ref="C45:N45" si="20">C7+C17-C8</f>
        <v>-725690.13000000012</v>
      </c>
      <c r="D45" s="27">
        <f t="shared" si="20"/>
        <v>-713113.43000000017</v>
      </c>
      <c r="E45" s="27">
        <f t="shared" si="20"/>
        <v>-770444.1100000001</v>
      </c>
      <c r="F45" s="27">
        <f t="shared" si="20"/>
        <v>-707873.37000000011</v>
      </c>
      <c r="G45" s="27">
        <f t="shared" si="20"/>
        <v>-747928.32000000007</v>
      </c>
      <c r="H45" s="27">
        <f t="shared" si="20"/>
        <v>-734735.58000000007</v>
      </c>
      <c r="I45" s="27">
        <f t="shared" si="20"/>
        <v>-760351.06</v>
      </c>
      <c r="J45" s="27">
        <f t="shared" si="20"/>
        <v>-787817.45000000007</v>
      </c>
      <c r="K45" s="27">
        <f t="shared" si="20"/>
        <v>-766926.14000000013</v>
      </c>
      <c r="L45" s="27">
        <f>L7-L8+L17+L44</f>
        <v>-764978.19000000018</v>
      </c>
      <c r="M45" s="27">
        <f t="shared" ref="M45:N45" si="21">M7-M8+M17+M44</f>
        <v>-741329.76000000013</v>
      </c>
      <c r="N45" s="27">
        <f t="shared" si="21"/>
        <v>-741329.76000000024</v>
      </c>
    </row>
  </sheetData>
  <mergeCells count="2">
    <mergeCell ref="A1:N1"/>
    <mergeCell ref="A2:P2"/>
  </mergeCells>
  <phoneticPr fontId="5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2025-03-06T04:03:34Z</cp:lastPrinted>
  <dcterms:created xsi:type="dcterms:W3CDTF">2011-06-06T03:25:48Z</dcterms:created>
  <dcterms:modified xsi:type="dcterms:W3CDTF">2025-03-06T04:15:47Z</dcterms:modified>
</cp:coreProperties>
</file>