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0" i="1" l="1"/>
  <c r="L20" i="1"/>
  <c r="M11" i="1"/>
  <c r="L11" i="1"/>
  <c r="K11" i="1"/>
  <c r="M21" i="1" l="1"/>
  <c r="M19" i="1"/>
  <c r="M12" i="1"/>
  <c r="M10" i="1"/>
  <c r="L21" i="1"/>
  <c r="L19" i="1"/>
  <c r="L12" i="1"/>
  <c r="L10" i="1"/>
  <c r="K21" i="1"/>
  <c r="K20" i="1"/>
  <c r="K19" i="1"/>
  <c r="K12" i="1"/>
  <c r="K10" i="1"/>
  <c r="M41" i="1" l="1"/>
  <c r="N45" i="1" l="1"/>
  <c r="M38" i="1"/>
  <c r="L38" i="1"/>
  <c r="K38" i="1"/>
  <c r="K37" i="1"/>
  <c r="N23" i="1" l="1"/>
  <c r="L41" i="1" l="1"/>
  <c r="M39" i="1" l="1"/>
  <c r="L39" i="1" l="1"/>
  <c r="J46" i="1"/>
  <c r="K39" i="1" l="1"/>
  <c r="M35" i="1" l="1"/>
  <c r="L35" i="1"/>
  <c r="K35" i="1" l="1"/>
  <c r="K41" i="1" l="1"/>
  <c r="M30" i="1" l="1"/>
  <c r="J30" i="1"/>
  <c r="L30" i="1"/>
  <c r="K30" i="1"/>
  <c r="M28" i="1" l="1"/>
  <c r="M27" i="1"/>
  <c r="L28" i="1" l="1"/>
  <c r="L27" i="1"/>
  <c r="K28" i="1"/>
  <c r="K27" i="1"/>
  <c r="K34" i="1"/>
  <c r="L34" i="1"/>
  <c r="M34" i="1"/>
  <c r="K29" i="1"/>
  <c r="L29" i="1"/>
  <c r="M29" i="1"/>
  <c r="K26" i="1"/>
  <c r="L26" i="1"/>
  <c r="M26" i="1"/>
  <c r="K25" i="1"/>
  <c r="L25" i="1"/>
  <c r="M25" i="1"/>
  <c r="I27" i="1" l="1"/>
  <c r="I11" i="1"/>
  <c r="J11" i="1"/>
  <c r="H11" i="1"/>
  <c r="J20" i="1" l="1"/>
  <c r="J12" i="1"/>
  <c r="J10" i="1"/>
  <c r="I20" i="1"/>
  <c r="H20" i="1"/>
  <c r="J41" i="1" l="1"/>
  <c r="J38" i="1" l="1"/>
  <c r="J33" i="1" l="1"/>
  <c r="H30" i="1"/>
  <c r="I30" i="1"/>
  <c r="I41" i="1" l="1"/>
  <c r="J35" i="1" l="1"/>
  <c r="I35" i="1" l="1"/>
  <c r="H35" i="1" l="1"/>
  <c r="J39" i="1" l="1"/>
  <c r="I39" i="1" l="1"/>
  <c r="H39" i="1" l="1"/>
  <c r="H41" i="1" l="1"/>
  <c r="J28" i="1" l="1"/>
  <c r="J27" i="1"/>
  <c r="I28" i="1" l="1"/>
  <c r="H28" i="1" l="1"/>
  <c r="H16" i="1"/>
  <c r="H27" i="1"/>
  <c r="H7" i="1"/>
  <c r="I34" i="1" l="1"/>
  <c r="J34" i="1"/>
  <c r="H34" i="1"/>
  <c r="H29" i="1" l="1"/>
  <c r="I29" i="1"/>
  <c r="J29" i="1"/>
  <c r="H26" i="1"/>
  <c r="I26" i="1"/>
  <c r="J26" i="1"/>
  <c r="H25" i="1"/>
  <c r="I25" i="1"/>
  <c r="J25" i="1"/>
  <c r="G20" i="1" l="1"/>
  <c r="G11" i="1"/>
  <c r="F21" i="1"/>
  <c r="F20" i="1"/>
  <c r="F11" i="1"/>
  <c r="E20" i="1"/>
  <c r="E21" i="1"/>
  <c r="E11" i="1"/>
  <c r="E12" i="1"/>
  <c r="F30" i="1" l="1"/>
  <c r="G30" i="1"/>
  <c r="E30" i="1"/>
  <c r="G39" i="1" l="1"/>
  <c r="G41" i="1" l="1"/>
  <c r="F39" i="1" l="1"/>
  <c r="E39" i="1" l="1"/>
  <c r="G35" i="1" l="1"/>
  <c r="F35" i="1"/>
  <c r="E35" i="1" l="1"/>
  <c r="F41" i="1" l="1"/>
  <c r="G28" i="1" l="1"/>
  <c r="G16" i="1"/>
  <c r="G27" i="1"/>
  <c r="E41" i="1" l="1"/>
  <c r="F28" i="1" l="1"/>
  <c r="F16" i="1"/>
  <c r="F27" i="1"/>
  <c r="E28" i="1" l="1"/>
  <c r="E16" i="1"/>
  <c r="E27" i="1"/>
  <c r="E34" i="1" l="1"/>
  <c r="F34" i="1"/>
  <c r="G34" i="1"/>
  <c r="E29" i="1"/>
  <c r="F29" i="1"/>
  <c r="G29" i="1"/>
  <c r="E26" i="1"/>
  <c r="F26" i="1"/>
  <c r="G26" i="1"/>
  <c r="E25" i="1"/>
  <c r="F25" i="1"/>
  <c r="G25" i="1"/>
  <c r="D20" i="1" l="1"/>
  <c r="D21" i="1"/>
  <c r="D11" i="1"/>
  <c r="D12" i="1"/>
  <c r="C20" i="1"/>
  <c r="C21" i="1"/>
  <c r="C11" i="1"/>
  <c r="C12" i="1"/>
  <c r="B20" i="1"/>
  <c r="B21" i="1"/>
  <c r="B11" i="1"/>
  <c r="B12" i="1"/>
  <c r="C41" i="1" l="1"/>
  <c r="D39" i="1" l="1"/>
  <c r="C39" i="1" l="1"/>
  <c r="B39" i="1" l="1"/>
  <c r="D35" i="1" l="1"/>
  <c r="C35" i="1" l="1"/>
  <c r="D41" i="1" l="1"/>
  <c r="D30" i="1" l="1"/>
  <c r="C30" i="1"/>
  <c r="B30" i="1"/>
  <c r="C34" i="1" l="1"/>
  <c r="D34" i="1"/>
  <c r="B34" i="1"/>
  <c r="C29" i="1"/>
  <c r="D29" i="1"/>
  <c r="B29" i="1"/>
  <c r="C26" i="1"/>
  <c r="D26" i="1"/>
  <c r="B26" i="1"/>
  <c r="C25" i="1"/>
  <c r="D25" i="1"/>
  <c r="B25" i="1"/>
  <c r="D28" i="1" l="1"/>
  <c r="D16" i="1"/>
  <c r="D27" i="1"/>
  <c r="B41" i="1" l="1"/>
  <c r="C28" i="1" l="1"/>
  <c r="C16" i="1"/>
  <c r="C27" i="1"/>
  <c r="B28" i="1" l="1"/>
  <c r="B27" i="1"/>
  <c r="B35" i="1" l="1"/>
  <c r="N38" i="1" l="1"/>
  <c r="D15" i="1" l="1"/>
  <c r="N8" i="1" l="1"/>
  <c r="N9" i="1"/>
  <c r="N10" i="1"/>
  <c r="N11" i="1"/>
  <c r="N12" i="1"/>
  <c r="N13" i="1"/>
  <c r="N14" i="1"/>
  <c r="N7" i="1"/>
  <c r="N26" i="1"/>
  <c r="N27" i="1"/>
  <c r="N28" i="1"/>
  <c r="N29" i="1"/>
  <c r="N30" i="1"/>
  <c r="N31" i="1"/>
  <c r="N32" i="1"/>
  <c r="N33" i="1"/>
  <c r="N34" i="1"/>
  <c r="N35" i="1"/>
  <c r="N36" i="1"/>
  <c r="N37" i="1"/>
  <c r="N39" i="1"/>
  <c r="N40" i="1"/>
  <c r="N41" i="1"/>
  <c r="N25" i="1"/>
  <c r="J15" i="1" l="1"/>
  <c r="I15" i="1"/>
  <c r="J42" i="1" l="1"/>
  <c r="J43" i="1" s="1"/>
  <c r="H15" i="1"/>
  <c r="G15" i="1" l="1"/>
  <c r="F15" i="1"/>
  <c r="E15" i="1"/>
  <c r="G42" i="1" l="1"/>
  <c r="G43" i="1" s="1"/>
  <c r="F42" i="1"/>
  <c r="F43" i="1" s="1"/>
  <c r="E42" i="1"/>
  <c r="E43" i="1" s="1"/>
  <c r="C15" i="1"/>
  <c r="B15" i="1"/>
  <c r="B42" i="1" s="1"/>
  <c r="N5" i="1" l="1"/>
  <c r="N4" i="1"/>
  <c r="K6" i="1" l="1"/>
  <c r="N17" i="1"/>
  <c r="K15" i="1"/>
  <c r="L15" i="1"/>
  <c r="M15" i="1"/>
  <c r="M42" i="1" s="1"/>
  <c r="L6" i="1"/>
  <c r="M6" i="1"/>
  <c r="K42" i="1" l="1"/>
  <c r="N15" i="1"/>
  <c r="M43" i="1"/>
  <c r="L42" i="1"/>
  <c r="L43" i="1" s="1"/>
  <c r="K43" i="1" l="1"/>
  <c r="J6" i="1"/>
  <c r="I42" i="1"/>
  <c r="I43" i="1" s="1"/>
  <c r="I6" i="1"/>
  <c r="H6" i="1"/>
  <c r="H42" i="1"/>
  <c r="H43" i="1" s="1"/>
  <c r="D42" i="1" l="1"/>
  <c r="D43" i="1" s="1"/>
  <c r="D6" i="1"/>
  <c r="C42" i="1"/>
  <c r="C43" i="1" s="1"/>
  <c r="C6" i="1"/>
  <c r="B6" i="1"/>
  <c r="N18" i="1" l="1"/>
  <c r="N22" i="1"/>
  <c r="E6" i="1"/>
  <c r="N20" i="1"/>
  <c r="N16" i="1"/>
  <c r="N21" i="1"/>
  <c r="G6" i="1"/>
  <c r="N19" i="1"/>
  <c r="F6" i="1"/>
  <c r="N6" i="1" l="1"/>
  <c r="N46" i="1" s="1"/>
  <c r="B43" i="1"/>
  <c r="B44" i="1" s="1"/>
  <c r="N42" i="1"/>
  <c r="N43" i="1" s="1"/>
  <c r="N44" i="1" s="1"/>
  <c r="B46" i="1"/>
  <c r="C5" i="1" s="1"/>
  <c r="C46" i="1" l="1"/>
  <c r="D5" i="1" s="1"/>
  <c r="D46" i="1" s="1"/>
  <c r="E5" i="1" s="1"/>
  <c r="E46" i="1" s="1"/>
  <c r="F5" i="1" l="1"/>
  <c r="C4" i="1"/>
  <c r="C44" i="1" s="1"/>
  <c r="F46" i="1" l="1"/>
  <c r="G5" i="1" s="1"/>
  <c r="D4" i="1"/>
  <c r="D44" i="1" s="1"/>
  <c r="G46" i="1" l="1"/>
  <c r="H5" i="1" s="1"/>
  <c r="H46" i="1" s="1"/>
  <c r="I5" i="1" s="1"/>
  <c r="E4" i="1"/>
  <c r="E44" i="1" s="1"/>
  <c r="J5" i="1" l="1"/>
  <c r="K5" i="1" s="1"/>
  <c r="I46" i="1"/>
  <c r="F4" i="1"/>
  <c r="F44" i="1" s="1"/>
  <c r="K46" i="1" l="1"/>
  <c r="L5" i="1" s="1"/>
  <c r="G4" i="1"/>
  <c r="G44" i="1" s="1"/>
  <c r="L46" i="1" l="1"/>
  <c r="M5" i="1" s="1"/>
  <c r="M46" i="1" s="1"/>
  <c r="H4" i="1"/>
  <c r="H44" i="1" s="1"/>
  <c r="I4" i="1" l="1"/>
  <c r="I44" i="1" l="1"/>
  <c r="J4" i="1" s="1"/>
  <c r="J44" i="1" l="1"/>
  <c r="K4" i="1" s="1"/>
  <c r="K44" i="1" s="1"/>
  <c r="L4" i="1" s="1"/>
  <c r="L44" i="1" s="1"/>
  <c r="M4" i="1" s="1"/>
  <c r="M44" i="1" s="1"/>
</calcChain>
</file>

<file path=xl/sharedStrings.xml><?xml version="1.0" encoding="utf-8"?>
<sst xmlns="http://schemas.openxmlformats.org/spreadsheetml/2006/main" count="58" uniqueCount="50">
  <si>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</si>
  <si>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</si>
  <si>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</si>
  <si>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</si>
  <si>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</si>
  <si>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</si>
  <si>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</si>
  <si>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</si>
  <si>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</si>
  <si>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</si>
  <si>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</si>
  <si>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</si>
  <si>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</si>
  <si>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</si>
  <si>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</si>
  <si>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</si>
  <si>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</si>
  <si>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</si>
  <si>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</si>
  <si>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</si>
  <si>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</si>
  <si>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</si>
  <si>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</si>
  <si>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</si>
  <si>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Доход от использования общего имущества</t>
  </si>
  <si>
    <t>Комплексное обслуживание лифтов</t>
  </si>
  <si>
    <t>Периодическое техническое освидетельствование лифтов</t>
  </si>
  <si>
    <t>Услуги охраны, диспетчеризации и мониторинга</t>
  </si>
  <si>
    <t xml:space="preserve">Отведение сточных вод ОИ </t>
  </si>
  <si>
    <t>Содержание жилья и текущий ремонт,  ОПУ/ жилые</t>
  </si>
  <si>
    <t>Содержание жилья и текущий ремонт, ОПУ/ нежилые</t>
  </si>
  <si>
    <t>Содержание жилья и текущий ремонт,  ОПУ</t>
  </si>
  <si>
    <t>Содержание жилья и текущий ремонт,  ОПУ/ нежилые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</si>
  <si>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</si>
  <si>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</si>
  <si>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</si>
  <si>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</si>
  <si>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</si>
  <si>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</si>
  <si>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</si>
  <si>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2024г.</t>
  </si>
  <si>
    <t>Сентябрь 2024г.</t>
  </si>
  <si>
    <t>Октябрь 2024г.</t>
  </si>
  <si>
    <t>Ноябрь 2024г.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</si>
  <si>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</si>
  <si>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</si>
  <si>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</si>
  <si>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</si>
  <si>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</si>
  <si>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             ОТЧЕТ по дому Коммунарский, 16/1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</si>
</sst>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0" fillId="0" borderId="0" xfId="0" applyNumberFormat="1"/>
    <xf numFmtId="0" fontId="7" fillId="0" borderId="3" xfId="0" applyFont="1" applyFill="1" applyBorder="1" applyAlignment="1">
      <alignment vertical="top" wrapText="1"/>
    </xf>
    <xf numFmtId="0" fontId="0" fillId="0" borderId="0" xfId="0" applyFill="1"/>
    <xf numFmtId="164" fontId="7" fillId="0" borderId="4" xfId="0" applyNumberFormat="1" applyFont="1" applyBorder="1" applyAlignment="1">
      <alignment horizontal="left" vertical="top" wrapText="1"/>
    </xf>
    <xf numFmtId="164" fontId="7" fillId="0" borderId="4" xfId="0" applyNumberFormat="1" applyFont="1" applyFill="1" applyBorder="1" applyAlignment="1">
      <alignment horizontal="left" vertical="top" wrapText="1"/>
    </xf>
    <xf numFmtId="4" fontId="0" fillId="0" borderId="0" xfId="0" applyNumberFormat="1"/>
    <xf numFmtId="164" fontId="0" fillId="0" borderId="0" xfId="0" applyNumberFormat="1" applyFill="1"/>
    <xf numFmtId="164" fontId="9" fillId="5" borderId="4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horizontal="left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7" fillId="0" borderId="2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164" fontId="9" fillId="0" borderId="5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topLeftCell="B16" zoomScale="75" workbookViewId="0">
      <selection activeCell="J25" sqref="J25"/>
    </sheetView>
  </sheetViews>
  <sheetFormatPr defaultRowHeight="13.2" x14ac:dyDescent="0.25"/>
  <cols>
    <col min="1" max="1" width="58.6640625" customWidth="1"/>
    <col min="2" max="2" width="14.5546875" customWidth="1"/>
    <col min="3" max="6" width="14.33203125" customWidth="1"/>
    <col min="7" max="7" width="14.33203125" style="22" customWidth="1"/>
    <col min="8" max="13" width="14.33203125" customWidth="1"/>
    <col min="14" max="14" width="15.109375" customWidth="1"/>
    <col min="15" max="15" width="10.44140625" bestFit="1" customWidth="1"/>
    <col min="17" max="17" width="16.6640625" customWidth="1"/>
    <col min="18" max="18" width="15.5546875" bestFit="1" customWidth="1"/>
  </cols>
  <sheetData>
    <row r="1" spans="1:18" ht="20.25" customHeight="1" x14ac:dyDescent="0.35">
      <c r="A1" s="34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8" ht="7.5" customHeight="1" thickBot="1" x14ac:dyDescent="0.3">
      <c r="A2" s="1"/>
      <c r="R2" s="2"/>
    </row>
    <row r="3" spans="1:18" ht="38.25" customHeight="1" thickBot="1" x14ac:dyDescent="0.3">
      <c r="A3" s="3" t="s">
        <v>0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28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</row>
    <row r="4" spans="1:18" ht="23.25" customHeight="1" thickBot="1" x14ac:dyDescent="0.3">
      <c r="A4" s="5" t="s">
        <v>14</v>
      </c>
      <c r="B4" s="11">
        <v>-769974.32</v>
      </c>
      <c r="C4" s="11">
        <f t="shared" ref="C4:D4" si="0">B44</f>
        <v>-729779.63870000001</v>
      </c>
      <c r="D4" s="11">
        <f t="shared" si="0"/>
        <v>-746923.83106999996</v>
      </c>
      <c r="E4" s="11">
        <f t="shared" ref="E4" si="1">D44</f>
        <v>-652197.36068000004</v>
      </c>
      <c r="F4" s="11">
        <f t="shared" ref="F4" si="2">E44</f>
        <v>-623462.19150000007</v>
      </c>
      <c r="G4" s="27">
        <f t="shared" ref="G4" si="3">F44</f>
        <v>-570724.48705000011</v>
      </c>
      <c r="H4" s="11">
        <f t="shared" ref="H4" si="4">G44</f>
        <v>-553890.94628000015</v>
      </c>
      <c r="I4" s="11">
        <f t="shared" ref="I4" si="5">H44</f>
        <v>-531563.65090000024</v>
      </c>
      <c r="J4" s="11">
        <f t="shared" ref="J4" si="6">I44</f>
        <v>-462198.74193000025</v>
      </c>
      <c r="K4" s="11">
        <f t="shared" ref="K4" si="7">J44</f>
        <v>-457511.35631000029</v>
      </c>
      <c r="L4" s="11">
        <f t="shared" ref="L4" si="8">K44</f>
        <v>-490549.56071000028</v>
      </c>
      <c r="M4" s="11">
        <f t="shared" ref="M4" si="9">L44</f>
        <v>-468334.11840000027</v>
      </c>
      <c r="N4" s="11">
        <f>B4</f>
        <v>-769974.32</v>
      </c>
    </row>
    <row r="5" spans="1:18" ht="21" customHeight="1" thickBot="1" x14ac:dyDescent="0.3">
      <c r="A5" s="5" t="s">
        <v>13</v>
      </c>
      <c r="B5" s="11">
        <v>-835879.44</v>
      </c>
      <c r="C5" s="11">
        <f t="shared" ref="C5:M5" si="10">B46</f>
        <v>-818860.54999999993</v>
      </c>
      <c r="D5" s="11">
        <f t="shared" si="10"/>
        <v>-823491.29999999981</v>
      </c>
      <c r="E5" s="11">
        <f t="shared" si="10"/>
        <v>-795992.0199999999</v>
      </c>
      <c r="F5" s="11">
        <f t="shared" si="10"/>
        <v>-814802.74999999988</v>
      </c>
      <c r="G5" s="27">
        <f t="shared" si="10"/>
        <v>-791288.22999999975</v>
      </c>
      <c r="H5" s="11">
        <f t="shared" si="10"/>
        <v>-805234.42999999982</v>
      </c>
      <c r="I5" s="11">
        <f t="shared" si="10"/>
        <v>-855203.83999999985</v>
      </c>
      <c r="J5" s="11">
        <f t="shared" si="10"/>
        <v>-787656.08999999985</v>
      </c>
      <c r="K5" s="11">
        <f t="shared" si="10"/>
        <v>-796113.82999999984</v>
      </c>
      <c r="L5" s="11">
        <f t="shared" si="10"/>
        <v>-836656.38999999978</v>
      </c>
      <c r="M5" s="11">
        <f t="shared" si="10"/>
        <v>-852082.39999999979</v>
      </c>
      <c r="N5" s="11">
        <f>B5</f>
        <v>-835879.44</v>
      </c>
    </row>
    <row r="6" spans="1:18" ht="20.25" customHeight="1" thickBot="1" x14ac:dyDescent="0.3">
      <c r="A6" s="6" t="s">
        <v>12</v>
      </c>
      <c r="B6" s="12">
        <f>SUM(B7:B14)</f>
        <v>228079.62</v>
      </c>
      <c r="C6" s="12">
        <f>SUM(C7:C14)</f>
        <v>228547.77999999997</v>
      </c>
      <c r="D6" s="12">
        <f>SUM(D7:D14)</f>
        <v>199509.02</v>
      </c>
      <c r="E6" s="12">
        <f t="shared" ref="E6:M6" si="11">SUM(E7:E14)</f>
        <v>205649.73</v>
      </c>
      <c r="F6" s="12">
        <f t="shared" si="11"/>
        <v>206071.66999999998</v>
      </c>
      <c r="G6" s="12">
        <f t="shared" si="11"/>
        <v>205448.88999999998</v>
      </c>
      <c r="H6" s="12">
        <f t="shared" si="11"/>
        <v>249423.19</v>
      </c>
      <c r="I6" s="12">
        <f t="shared" si="11"/>
        <v>235536.37</v>
      </c>
      <c r="J6" s="12">
        <f t="shared" si="11"/>
        <v>237331.82</v>
      </c>
      <c r="K6" s="12">
        <f t="shared" si="11"/>
        <v>255540.37</v>
      </c>
      <c r="L6" s="12">
        <f t="shared" si="11"/>
        <v>240272.00999999998</v>
      </c>
      <c r="M6" s="12">
        <f t="shared" si="11"/>
        <v>250119.36</v>
      </c>
      <c r="N6" s="12">
        <f>SUM(B6:M6)</f>
        <v>2741529.8299999991</v>
      </c>
    </row>
    <row r="7" spans="1:18" ht="21.75" customHeight="1" thickBot="1" x14ac:dyDescent="0.3">
      <c r="A7" s="10" t="s">
        <v>29</v>
      </c>
      <c r="B7" s="23">
        <v>196396.27</v>
      </c>
      <c r="C7" s="23">
        <v>196396.27</v>
      </c>
      <c r="D7" s="23">
        <v>196396.27</v>
      </c>
      <c r="E7" s="23">
        <v>196396.27</v>
      </c>
      <c r="F7" s="23">
        <v>196396.27</v>
      </c>
      <c r="G7" s="24">
        <v>196396.27</v>
      </c>
      <c r="H7" s="23">
        <f>204750</f>
        <v>204750</v>
      </c>
      <c r="I7" s="23">
        <v>204750</v>
      </c>
      <c r="J7" s="23">
        <v>204750</v>
      </c>
      <c r="K7" s="13">
        <v>204750</v>
      </c>
      <c r="L7" s="13">
        <v>204750</v>
      </c>
      <c r="M7" s="13">
        <v>204750</v>
      </c>
      <c r="N7" s="13">
        <f>SUM(B7:M7)</f>
        <v>2406877.62</v>
      </c>
    </row>
    <row r="8" spans="1:18" ht="21" customHeight="1" thickBot="1" x14ac:dyDescent="0.3">
      <c r="A8" s="10" t="s">
        <v>30</v>
      </c>
      <c r="B8" s="23">
        <v>1570.69</v>
      </c>
      <c r="C8" s="23">
        <v>1570.69</v>
      </c>
      <c r="D8" s="23">
        <v>1570.69</v>
      </c>
      <c r="E8" s="23">
        <v>1570.69</v>
      </c>
      <c r="F8" s="23">
        <v>1570.69</v>
      </c>
      <c r="G8" s="23">
        <v>1570.69</v>
      </c>
      <c r="H8" s="23">
        <v>1637.5</v>
      </c>
      <c r="I8" s="23">
        <v>1637.5</v>
      </c>
      <c r="J8" s="23">
        <v>1637.5</v>
      </c>
      <c r="K8" s="23">
        <v>1637.5</v>
      </c>
      <c r="L8" s="23">
        <v>1637.5</v>
      </c>
      <c r="M8" s="23">
        <v>1637.5</v>
      </c>
      <c r="N8" s="23">
        <f t="shared" ref="N8:N14" si="12">SUM(B8:M8)</f>
        <v>19249.14</v>
      </c>
    </row>
    <row r="9" spans="1:18" ht="23.25" customHeight="1" thickBot="1" x14ac:dyDescent="0.3">
      <c r="A9" s="10" t="s">
        <v>15</v>
      </c>
      <c r="B9" s="23">
        <v>0</v>
      </c>
      <c r="C9" s="23">
        <v>0</v>
      </c>
      <c r="D9" s="23">
        <v>0</v>
      </c>
      <c r="E9" s="23">
        <v>63.85</v>
      </c>
      <c r="F9" s="23">
        <v>0</v>
      </c>
      <c r="G9" s="24">
        <v>0</v>
      </c>
      <c r="H9" s="23">
        <v>0</v>
      </c>
      <c r="I9" s="23">
        <v>0</v>
      </c>
      <c r="J9" s="23">
        <v>0</v>
      </c>
      <c r="K9" s="13">
        <v>0</v>
      </c>
      <c r="L9" s="13">
        <v>0</v>
      </c>
      <c r="M9" s="13">
        <v>0</v>
      </c>
      <c r="N9" s="23">
        <f t="shared" si="12"/>
        <v>63.85</v>
      </c>
    </row>
    <row r="10" spans="1:18" ht="21" customHeight="1" thickBot="1" x14ac:dyDescent="0.3">
      <c r="A10" s="10" t="s">
        <v>16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4">
        <v>0</v>
      </c>
      <c r="H10" s="23">
        <v>0</v>
      </c>
      <c r="I10" s="23">
        <v>0</v>
      </c>
      <c r="J10" s="23">
        <f>1910.68+15.07</f>
        <v>1925.75</v>
      </c>
      <c r="K10" s="13">
        <f>2409.1+19</f>
        <v>2428.1</v>
      </c>
      <c r="L10" s="13">
        <f>2524.68+20.31</f>
        <v>2544.9899999999998</v>
      </c>
      <c r="M10" s="13">
        <f>1771.91+14.41</f>
        <v>1786.3200000000002</v>
      </c>
      <c r="N10" s="23">
        <f t="shared" si="12"/>
        <v>8685.16</v>
      </c>
    </row>
    <row r="11" spans="1:18" ht="18.75" customHeight="1" thickBot="1" x14ac:dyDescent="0.3">
      <c r="A11" s="10" t="s">
        <v>17</v>
      </c>
      <c r="B11" s="23">
        <f>14623.86+117.25</f>
        <v>14741.11</v>
      </c>
      <c r="C11" s="23">
        <f>14932.57+119.21</f>
        <v>15051.779999999999</v>
      </c>
      <c r="D11" s="23">
        <f>10173.24+81.22</f>
        <v>10254.459999999999</v>
      </c>
      <c r="E11" s="23">
        <f>3874.19+31.44</f>
        <v>3905.63</v>
      </c>
      <c r="F11" s="23">
        <f>6105.58+49.13</f>
        <v>6154.71</v>
      </c>
      <c r="G11" s="24">
        <f>5488.04+43.89</f>
        <v>5531.93</v>
      </c>
      <c r="H11" s="23">
        <f>20461.89+163.75+390</f>
        <v>21015.64</v>
      </c>
      <c r="I11" s="23">
        <f>6619.76+53.06+456</f>
        <v>7128.8200000000006</v>
      </c>
      <c r="J11" s="23">
        <f>4417.71+35.37+602.3</f>
        <v>5055.38</v>
      </c>
      <c r="K11" s="13">
        <f>21593.9+172.92+488</f>
        <v>22254.82</v>
      </c>
      <c r="L11" s="13">
        <f>5842.3+46.51+863.65</f>
        <v>6752.46</v>
      </c>
      <c r="M11" s="13">
        <f>17225.63+137.55+760.45</f>
        <v>18123.63</v>
      </c>
      <c r="N11" s="23">
        <f t="shared" si="12"/>
        <v>135970.37</v>
      </c>
    </row>
    <row r="12" spans="1:18" ht="18.75" customHeight="1" thickBot="1" x14ac:dyDescent="0.3">
      <c r="A12" s="10" t="s">
        <v>28</v>
      </c>
      <c r="B12" s="23">
        <f>1331.86+10.48</f>
        <v>1342.34</v>
      </c>
      <c r="C12" s="23">
        <f>1488.04+11.79</f>
        <v>1499.83</v>
      </c>
      <c r="D12" s="23">
        <f>1405.67+11.14</f>
        <v>1416.8100000000002</v>
      </c>
      <c r="E12" s="23">
        <f>1749.53+13.76</f>
        <v>1763.29</v>
      </c>
      <c r="F12" s="23">
        <v>0</v>
      </c>
      <c r="G12" s="24">
        <v>0</v>
      </c>
      <c r="H12" s="23">
        <v>0</v>
      </c>
      <c r="I12" s="23">
        <v>0</v>
      </c>
      <c r="J12" s="23">
        <f>1927.42+15.72</f>
        <v>1943.14</v>
      </c>
      <c r="K12" s="13">
        <f>2430.25+19.65</f>
        <v>2449.9</v>
      </c>
      <c r="L12" s="13">
        <f>2546.7+20.31</f>
        <v>2567.0099999999998</v>
      </c>
      <c r="M12" s="13">
        <f>1787.45+14.41</f>
        <v>1801.8600000000001</v>
      </c>
      <c r="N12" s="23">
        <f t="shared" si="12"/>
        <v>14784.180000000002</v>
      </c>
    </row>
    <row r="13" spans="1:18" ht="18.75" customHeight="1" thickBot="1" x14ac:dyDescent="0.3">
      <c r="A13" s="10" t="s">
        <v>46</v>
      </c>
      <c r="B13" s="23">
        <v>12079.21</v>
      </c>
      <c r="C13" s="23">
        <v>12079.21</v>
      </c>
      <c r="D13" s="23">
        <v>-12079.21</v>
      </c>
      <c r="E13" s="23">
        <v>0</v>
      </c>
      <c r="F13" s="23">
        <v>0</v>
      </c>
      <c r="G13" s="24">
        <v>0</v>
      </c>
      <c r="H13" s="23">
        <v>20070.05</v>
      </c>
      <c r="I13" s="23">
        <v>20070.05</v>
      </c>
      <c r="J13" s="23">
        <v>20070.05</v>
      </c>
      <c r="K13" s="13">
        <v>20070.05</v>
      </c>
      <c r="L13" s="13">
        <v>20070.05</v>
      </c>
      <c r="M13" s="13">
        <v>20070.05</v>
      </c>
      <c r="N13" s="23">
        <f t="shared" si="12"/>
        <v>132499.51</v>
      </c>
    </row>
    <row r="14" spans="1:18" ht="22.5" customHeight="1" thickBot="1" x14ac:dyDescent="0.3">
      <c r="A14" s="10" t="s">
        <v>24</v>
      </c>
      <c r="B14" s="13">
        <v>1950</v>
      </c>
      <c r="C14" s="23">
        <v>1950</v>
      </c>
      <c r="D14" s="23">
        <v>1950</v>
      </c>
      <c r="E14" s="23">
        <v>1950</v>
      </c>
      <c r="F14" s="23">
        <v>1950</v>
      </c>
      <c r="G14" s="23">
        <v>1950</v>
      </c>
      <c r="H14" s="23">
        <v>1950</v>
      </c>
      <c r="I14" s="23">
        <v>1950</v>
      </c>
      <c r="J14" s="23">
        <v>1950</v>
      </c>
      <c r="K14" s="23">
        <v>1950</v>
      </c>
      <c r="L14" s="23">
        <v>1950</v>
      </c>
      <c r="M14" s="23">
        <v>1950</v>
      </c>
      <c r="N14" s="23">
        <f t="shared" si="12"/>
        <v>23400</v>
      </c>
    </row>
    <row r="15" spans="1:18" ht="20.25" customHeight="1" thickBot="1" x14ac:dyDescent="0.3">
      <c r="A15" s="8" t="s">
        <v>8</v>
      </c>
      <c r="B15" s="14">
        <f t="shared" ref="B15:J15" si="13">SUM(B16:B23)</f>
        <v>245098.50999999998</v>
      </c>
      <c r="C15" s="14">
        <f t="shared" si="13"/>
        <v>223917.03</v>
      </c>
      <c r="D15" s="14">
        <f t="shared" si="13"/>
        <v>227008.29999999996</v>
      </c>
      <c r="E15" s="14">
        <f t="shared" si="13"/>
        <v>186839</v>
      </c>
      <c r="F15" s="14">
        <f t="shared" si="13"/>
        <v>229586.19</v>
      </c>
      <c r="G15" s="14">
        <f t="shared" si="13"/>
        <v>191502.69</v>
      </c>
      <c r="H15" s="14">
        <f t="shared" si="13"/>
        <v>199453.78</v>
      </c>
      <c r="I15" s="14">
        <f t="shared" si="13"/>
        <v>247697.63</v>
      </c>
      <c r="J15" s="14">
        <f t="shared" si="13"/>
        <v>228874.08000000002</v>
      </c>
      <c r="K15" s="14">
        <f t="shared" ref="K15:M15" si="14">SUM(K16:K23)</f>
        <v>214997.81</v>
      </c>
      <c r="L15" s="14">
        <f t="shared" si="14"/>
        <v>224845.99999999997</v>
      </c>
      <c r="M15" s="14">
        <f t="shared" si="14"/>
        <v>252623.22999999998</v>
      </c>
      <c r="N15" s="14">
        <f>SUM(B15:M15)</f>
        <v>2672444.25</v>
      </c>
    </row>
    <row r="16" spans="1:18" ht="21" customHeight="1" thickBot="1" x14ac:dyDescent="0.3">
      <c r="A16" s="10" t="s">
        <v>31</v>
      </c>
      <c r="B16" s="13">
        <v>189776.11</v>
      </c>
      <c r="C16" s="13">
        <f>192136.59+5.06</f>
        <v>192141.65</v>
      </c>
      <c r="D16" s="13">
        <f>201533.6+16.8</f>
        <v>201550.4</v>
      </c>
      <c r="E16" s="13">
        <f>173241.94+124.54</f>
        <v>173366.48</v>
      </c>
      <c r="F16" s="13">
        <f>213155.82+266.93</f>
        <v>213422.75</v>
      </c>
      <c r="G16" s="24">
        <f>182934.5+330.21</f>
        <v>183264.71</v>
      </c>
      <c r="H16" s="13">
        <f>191641.82+348.19</f>
        <v>191990.01</v>
      </c>
      <c r="I16" s="13">
        <v>206495.85</v>
      </c>
      <c r="J16" s="13">
        <v>200943.03</v>
      </c>
      <c r="K16" s="13">
        <v>187737.15</v>
      </c>
      <c r="L16" s="13">
        <v>180193.84</v>
      </c>
      <c r="M16" s="13">
        <v>215704.11</v>
      </c>
      <c r="N16" s="13">
        <f>SUM(B16:M16)</f>
        <v>2336586.09</v>
      </c>
    </row>
    <row r="17" spans="1:17" ht="21" customHeight="1" thickBot="1" x14ac:dyDescent="0.3">
      <c r="A17" s="10" t="s">
        <v>32</v>
      </c>
      <c r="B17" s="23">
        <v>1570.69</v>
      </c>
      <c r="C17" s="23">
        <v>1570.69</v>
      </c>
      <c r="D17" s="23">
        <v>1570.69</v>
      </c>
      <c r="E17" s="23">
        <v>1570.69</v>
      </c>
      <c r="F17" s="23">
        <v>1570.69</v>
      </c>
      <c r="G17" s="23">
        <v>1570.69</v>
      </c>
      <c r="H17" s="23">
        <v>1570.69</v>
      </c>
      <c r="I17" s="23">
        <v>1637.5</v>
      </c>
      <c r="J17" s="23">
        <v>1637.5</v>
      </c>
      <c r="K17" s="23">
        <v>1637.5</v>
      </c>
      <c r="L17" s="23">
        <v>1637.5</v>
      </c>
      <c r="M17" s="13">
        <v>0</v>
      </c>
      <c r="N17" s="13">
        <f t="shared" ref="N17:N22" si="15">SUM(B17:M17)</f>
        <v>17544.830000000002</v>
      </c>
    </row>
    <row r="18" spans="1:17" ht="18.75" customHeight="1" thickBot="1" x14ac:dyDescent="0.3">
      <c r="A18" s="10" t="s">
        <v>15</v>
      </c>
      <c r="B18" s="23">
        <v>34.06</v>
      </c>
      <c r="C18" s="23">
        <v>79.900000000000006</v>
      </c>
      <c r="D18" s="23">
        <v>55.61</v>
      </c>
      <c r="E18" s="23">
        <v>5.51</v>
      </c>
      <c r="F18" s="23">
        <v>62.62</v>
      </c>
      <c r="G18" s="24">
        <v>7.45</v>
      </c>
      <c r="H18" s="23">
        <v>5.18</v>
      </c>
      <c r="I18" s="23">
        <v>2.66</v>
      </c>
      <c r="J18" s="23">
        <v>53.93</v>
      </c>
      <c r="K18" s="13">
        <v>0</v>
      </c>
      <c r="L18" s="13">
        <v>0</v>
      </c>
      <c r="M18" s="13">
        <v>1.74</v>
      </c>
      <c r="N18" s="13">
        <f t="shared" si="15"/>
        <v>308.65999999999997</v>
      </c>
    </row>
    <row r="19" spans="1:17" ht="21.75" customHeight="1" thickBot="1" x14ac:dyDescent="0.3">
      <c r="A19" s="10" t="s">
        <v>16</v>
      </c>
      <c r="B19" s="23">
        <v>30.43</v>
      </c>
      <c r="C19" s="23">
        <v>26.01</v>
      </c>
      <c r="D19" s="23">
        <v>50.98</v>
      </c>
      <c r="E19" s="23">
        <v>2.8</v>
      </c>
      <c r="F19" s="23">
        <v>15.59</v>
      </c>
      <c r="G19" s="24">
        <v>13.61</v>
      </c>
      <c r="H19" s="23">
        <v>8.41</v>
      </c>
      <c r="I19" s="23">
        <v>4.82</v>
      </c>
      <c r="J19" s="23">
        <v>49.78</v>
      </c>
      <c r="K19" s="13">
        <f>1694.99+15.07</f>
        <v>1710.06</v>
      </c>
      <c r="L19" s="13">
        <f>2093.9+19</f>
        <v>2112.9</v>
      </c>
      <c r="M19" s="13">
        <f>2505.82+20.31</f>
        <v>2526.13</v>
      </c>
      <c r="N19" s="13">
        <f t="shared" si="15"/>
        <v>6551.52</v>
      </c>
    </row>
    <row r="20" spans="1:17" ht="19.5" customHeight="1" thickBot="1" x14ac:dyDescent="0.3">
      <c r="A20" s="10" t="s">
        <v>17</v>
      </c>
      <c r="B20" s="15">
        <f>38332.07+345.84</f>
        <v>38677.909999999996</v>
      </c>
      <c r="C20" s="15">
        <f>15230.37+117.25</f>
        <v>15347.62</v>
      </c>
      <c r="D20" s="15">
        <f>14918.06+119.21</f>
        <v>15037.269999999999</v>
      </c>
      <c r="E20" s="15">
        <f>9245.19+81.22</f>
        <v>9326.41</v>
      </c>
      <c r="F20" s="15">
        <f>4342.4+31.44</f>
        <v>4373.8399999999992</v>
      </c>
      <c r="G20" s="30">
        <f>5738.79+49.13</f>
        <v>5787.92</v>
      </c>
      <c r="H20" s="16">
        <f>5380.52+43.89</f>
        <v>5424.4100000000008</v>
      </c>
      <c r="I20" s="17">
        <f>19782.97+163.75</f>
        <v>19946.72</v>
      </c>
      <c r="J20" s="17">
        <f>7282.7+53.06</f>
        <v>7335.76</v>
      </c>
      <c r="K20" s="13">
        <f>4094.47+35.37</f>
        <v>4129.84</v>
      </c>
      <c r="L20" s="13">
        <f>18646.95+172.92+488</f>
        <v>19307.87</v>
      </c>
      <c r="M20" s="13">
        <f>7344.64+46.51+863.65</f>
        <v>8254.8000000000011</v>
      </c>
      <c r="N20" s="13">
        <f t="shared" si="15"/>
        <v>152950.37</v>
      </c>
    </row>
    <row r="21" spans="1:17" ht="19.5" customHeight="1" thickBot="1" x14ac:dyDescent="0.3">
      <c r="A21" s="10" t="s">
        <v>28</v>
      </c>
      <c r="B21" s="16">
        <f>1761.4+14.41</f>
        <v>1775.8100000000002</v>
      </c>
      <c r="C21" s="17">
        <f>1341.53+10.48</f>
        <v>1352.01</v>
      </c>
      <c r="D21" s="17">
        <f>1514.57+11.79</f>
        <v>1526.36</v>
      </c>
      <c r="E21" s="17">
        <f>1255.97+11.14</f>
        <v>1267.1100000000001</v>
      </c>
      <c r="F21" s="17">
        <f>1626.94+13.76</f>
        <v>1640.7</v>
      </c>
      <c r="G21" s="31">
        <v>158.31</v>
      </c>
      <c r="H21" s="23">
        <v>55.08</v>
      </c>
      <c r="I21" s="23">
        <v>105.84</v>
      </c>
      <c r="J21" s="23">
        <v>104.5</v>
      </c>
      <c r="K21" s="13">
        <f>1707.38+15.72</f>
        <v>1723.1000000000001</v>
      </c>
      <c r="L21" s="13">
        <f>2112.21+19.65</f>
        <v>2131.86</v>
      </c>
      <c r="M21" s="13">
        <f>2535.97+20.31</f>
        <v>2556.2799999999997</v>
      </c>
      <c r="N21" s="13">
        <f t="shared" si="15"/>
        <v>14396.960000000003</v>
      </c>
    </row>
    <row r="22" spans="1:17" ht="19.5" customHeight="1" thickBot="1" x14ac:dyDescent="0.3">
      <c r="A22" s="10" t="s">
        <v>46</v>
      </c>
      <c r="B22" s="16">
        <v>11033.5</v>
      </c>
      <c r="C22" s="16">
        <v>11499.15</v>
      </c>
      <c r="D22" s="16">
        <v>6216.99</v>
      </c>
      <c r="E22" s="16">
        <v>0</v>
      </c>
      <c r="F22" s="16">
        <v>0</v>
      </c>
      <c r="G22" s="32">
        <v>0</v>
      </c>
      <c r="H22" s="23">
        <v>0</v>
      </c>
      <c r="I22" s="23">
        <v>18204.240000000002</v>
      </c>
      <c r="J22" s="23">
        <v>18349.580000000002</v>
      </c>
      <c r="K22" s="13">
        <v>17660.16</v>
      </c>
      <c r="L22" s="13">
        <v>17562.03</v>
      </c>
      <c r="M22" s="13">
        <v>20030.169999999998</v>
      </c>
      <c r="N22" s="13">
        <f t="shared" si="15"/>
        <v>120555.82</v>
      </c>
    </row>
    <row r="23" spans="1:17" ht="18.75" customHeight="1" thickBot="1" x14ac:dyDescent="0.3">
      <c r="A23" s="10" t="s">
        <v>24</v>
      </c>
      <c r="B23" s="16">
        <v>2200</v>
      </c>
      <c r="C23" s="16">
        <v>1900</v>
      </c>
      <c r="D23" s="16">
        <v>1000</v>
      </c>
      <c r="E23" s="16">
        <v>1300</v>
      </c>
      <c r="F23" s="16">
        <v>8500</v>
      </c>
      <c r="G23" s="32">
        <v>700</v>
      </c>
      <c r="H23" s="13">
        <v>400</v>
      </c>
      <c r="I23" s="13">
        <v>1300</v>
      </c>
      <c r="J23" s="13">
        <v>400</v>
      </c>
      <c r="K23" s="13">
        <v>400</v>
      </c>
      <c r="L23" s="13">
        <v>1900</v>
      </c>
      <c r="M23" s="13">
        <v>3550</v>
      </c>
      <c r="N23" s="13">
        <f>SUM(B23:M23)</f>
        <v>23550</v>
      </c>
    </row>
    <row r="24" spans="1:17" ht="21.75" customHeight="1" thickBot="1" x14ac:dyDescent="0.3">
      <c r="A24" s="9" t="s">
        <v>22</v>
      </c>
      <c r="B24" s="18"/>
      <c r="C24" s="18"/>
      <c r="D24" s="18"/>
      <c r="E24" s="18"/>
      <c r="F24" s="18"/>
      <c r="G24" s="33"/>
      <c r="H24" s="18"/>
      <c r="I24" s="18"/>
      <c r="J24" s="18"/>
      <c r="K24" s="18"/>
      <c r="L24" s="18"/>
      <c r="M24" s="18"/>
      <c r="N24" s="19"/>
    </row>
    <row r="25" spans="1:17" ht="19.5" customHeight="1" thickBot="1" x14ac:dyDescent="0.3">
      <c r="A25" s="10" t="s">
        <v>1</v>
      </c>
      <c r="B25" s="23">
        <f>8265.2*0.6</f>
        <v>4959.12</v>
      </c>
      <c r="C25" s="23">
        <f t="shared" ref="C25:M25" si="16">8265.2*0.6</f>
        <v>4959.12</v>
      </c>
      <c r="D25" s="23">
        <f t="shared" si="16"/>
        <v>4959.12</v>
      </c>
      <c r="E25" s="23">
        <f t="shared" si="16"/>
        <v>4959.12</v>
      </c>
      <c r="F25" s="23">
        <f t="shared" si="16"/>
        <v>4959.12</v>
      </c>
      <c r="G25" s="23">
        <f t="shared" si="16"/>
        <v>4959.12</v>
      </c>
      <c r="H25" s="23">
        <f t="shared" si="16"/>
        <v>4959.12</v>
      </c>
      <c r="I25" s="23">
        <f t="shared" si="16"/>
        <v>4959.12</v>
      </c>
      <c r="J25" s="23">
        <f t="shared" si="16"/>
        <v>4959.12</v>
      </c>
      <c r="K25" s="23">
        <f t="shared" si="16"/>
        <v>4959.12</v>
      </c>
      <c r="L25" s="23">
        <f t="shared" si="16"/>
        <v>4959.12</v>
      </c>
      <c r="M25" s="23">
        <f t="shared" si="16"/>
        <v>4959.12</v>
      </c>
      <c r="N25" s="13">
        <f>SUM(B25:M25)</f>
        <v>59509.44000000001</v>
      </c>
      <c r="O25" s="25"/>
    </row>
    <row r="26" spans="1:17" ht="22.5" customHeight="1" thickBot="1" x14ac:dyDescent="0.3">
      <c r="A26" s="10" t="s">
        <v>2</v>
      </c>
      <c r="B26" s="23">
        <f>8265.2*0.17</f>
        <v>1405.0840000000003</v>
      </c>
      <c r="C26" s="23">
        <f t="shared" ref="C26:M26" si="17">8265.2*0.17</f>
        <v>1405.0840000000003</v>
      </c>
      <c r="D26" s="23">
        <f t="shared" si="17"/>
        <v>1405.0840000000003</v>
      </c>
      <c r="E26" s="23">
        <f t="shared" si="17"/>
        <v>1405.0840000000003</v>
      </c>
      <c r="F26" s="23">
        <f t="shared" si="17"/>
        <v>1405.0840000000003</v>
      </c>
      <c r="G26" s="23">
        <f t="shared" si="17"/>
        <v>1405.0840000000003</v>
      </c>
      <c r="H26" s="23">
        <f t="shared" si="17"/>
        <v>1405.0840000000003</v>
      </c>
      <c r="I26" s="23">
        <f t="shared" si="17"/>
        <v>1405.0840000000003</v>
      </c>
      <c r="J26" s="23">
        <f t="shared" si="17"/>
        <v>1405.0840000000003</v>
      </c>
      <c r="K26" s="23">
        <f t="shared" si="17"/>
        <v>1405.0840000000003</v>
      </c>
      <c r="L26" s="23">
        <f t="shared" si="17"/>
        <v>1405.0840000000003</v>
      </c>
      <c r="M26" s="23">
        <f t="shared" si="17"/>
        <v>1405.0840000000003</v>
      </c>
      <c r="N26" s="23">
        <f t="shared" ref="N26:N41" si="18">SUM(B26:M26)</f>
        <v>16861.008000000005</v>
      </c>
      <c r="O26" s="25"/>
    </row>
    <row r="27" spans="1:17" ht="21" customHeight="1" thickBot="1" x14ac:dyDescent="0.3">
      <c r="A27" s="10" t="s">
        <v>3</v>
      </c>
      <c r="B27" s="23">
        <f>224431.2*2.3%</f>
        <v>5161.9175999999998</v>
      </c>
      <c r="C27" s="13">
        <f>224896.09*2.3%</f>
        <v>5172.6100699999997</v>
      </c>
      <c r="D27" s="13">
        <f>195895.97*2.3%</f>
        <v>4505.6073100000003</v>
      </c>
      <c r="E27" s="13">
        <f>202083.84*2.3%</f>
        <v>4647.92832</v>
      </c>
      <c r="F27" s="13">
        <f>202501.85*2.3%</f>
        <v>4657.5425500000001</v>
      </c>
      <c r="G27" s="24">
        <f>201884.31*2.3%</f>
        <v>4643.3391300000003</v>
      </c>
      <c r="H27" s="13">
        <f>245281.94*2.3%</f>
        <v>5641.4846200000002</v>
      </c>
      <c r="I27" s="13">
        <f>231439.81*2.3%</f>
        <v>5323.1156300000002</v>
      </c>
      <c r="J27" s="13">
        <f>233075.86*2.3%</f>
        <v>5360.74478</v>
      </c>
      <c r="K27" s="13">
        <f>251253.3*2.3%</f>
        <v>5778.8258999999998</v>
      </c>
      <c r="L27" s="13">
        <f>235733.73*2.3%</f>
        <v>5421.8757900000001</v>
      </c>
      <c r="M27" s="13">
        <f>245605.04*2.3%</f>
        <v>5648.9159200000004</v>
      </c>
      <c r="N27" s="23">
        <f t="shared" si="18"/>
        <v>61963.907620000005</v>
      </c>
      <c r="Q27" s="20"/>
    </row>
    <row r="28" spans="1:17" ht="23.25" customHeight="1" thickBot="1" x14ac:dyDescent="0.3">
      <c r="A28" s="10" t="s">
        <v>4</v>
      </c>
      <c r="B28" s="23">
        <f>240967.57*3%</f>
        <v>7229.0271000000002</v>
      </c>
      <c r="C28" s="13">
        <f>220318.61*3%</f>
        <v>6609.5582999999997</v>
      </c>
      <c r="D28" s="13">
        <f>224306.61*3%</f>
        <v>6729.1982999999991</v>
      </c>
      <c r="E28" s="13">
        <f>183875.95*3%</f>
        <v>5516.2785000000003</v>
      </c>
      <c r="F28" s="13">
        <f>219470.3*3%</f>
        <v>6584.1089999999995</v>
      </c>
      <c r="G28" s="24">
        <f>189182.87*3%</f>
        <v>5675.4861000000001</v>
      </c>
      <c r="H28" s="13">
        <f>197439.2*3%</f>
        <v>5923.1760000000004</v>
      </c>
      <c r="I28" s="13">
        <f>244596.38*3%</f>
        <v>7337.8913999999995</v>
      </c>
      <c r="J28" s="13">
        <f>226783.52*3%</f>
        <v>6803.5055999999995</v>
      </c>
      <c r="K28" s="13">
        <f>212894.15*3%</f>
        <v>6386.8244999999997</v>
      </c>
      <c r="L28" s="13">
        <f>220608.93*3%</f>
        <v>6618.2678999999998</v>
      </c>
      <c r="M28" s="13">
        <f>248122.45*3%</f>
        <v>7443.6734999999999</v>
      </c>
      <c r="N28" s="23">
        <f t="shared" si="18"/>
        <v>78856.996200000009</v>
      </c>
    </row>
    <row r="29" spans="1:17" ht="23.25" customHeight="1" thickBot="1" x14ac:dyDescent="0.3">
      <c r="A29" s="10" t="s">
        <v>9</v>
      </c>
      <c r="B29" s="24">
        <f>8265.2*8.5</f>
        <v>70254.200000000012</v>
      </c>
      <c r="C29" s="24">
        <f t="shared" ref="C29:M29" si="19">8265.2*8.5</f>
        <v>70254.200000000012</v>
      </c>
      <c r="D29" s="24">
        <f t="shared" si="19"/>
        <v>70254.200000000012</v>
      </c>
      <c r="E29" s="24">
        <f t="shared" si="19"/>
        <v>70254.200000000012</v>
      </c>
      <c r="F29" s="24">
        <f t="shared" si="19"/>
        <v>70254.200000000012</v>
      </c>
      <c r="G29" s="24">
        <f t="shared" si="19"/>
        <v>70254.200000000012</v>
      </c>
      <c r="H29" s="24">
        <f t="shared" si="19"/>
        <v>70254.200000000012</v>
      </c>
      <c r="I29" s="24">
        <f t="shared" si="19"/>
        <v>70254.200000000012</v>
      </c>
      <c r="J29" s="24">
        <f t="shared" si="19"/>
        <v>70254.200000000012</v>
      </c>
      <c r="K29" s="24">
        <f t="shared" si="19"/>
        <v>70254.200000000012</v>
      </c>
      <c r="L29" s="24">
        <f t="shared" si="19"/>
        <v>70254.200000000012</v>
      </c>
      <c r="M29" s="24">
        <f t="shared" si="19"/>
        <v>70254.200000000012</v>
      </c>
      <c r="N29" s="23">
        <f t="shared" si="18"/>
        <v>843050.39999999991</v>
      </c>
    </row>
    <row r="30" spans="1:17" ht="18.600000000000001" customHeight="1" thickBot="1" x14ac:dyDescent="0.3">
      <c r="A30" s="10" t="s">
        <v>18</v>
      </c>
      <c r="B30" s="24">
        <f>0+0</f>
        <v>0</v>
      </c>
      <c r="C30" s="23">
        <f>0+0</f>
        <v>0</v>
      </c>
      <c r="D30" s="23">
        <f>0+64.34</f>
        <v>64.34</v>
      </c>
      <c r="E30" s="23">
        <f>0+0</f>
        <v>0</v>
      </c>
      <c r="F30" s="23">
        <f t="shared" ref="F30:L30" si="20">0+0</f>
        <v>0</v>
      </c>
      <c r="G30" s="23">
        <f t="shared" si="20"/>
        <v>0</v>
      </c>
      <c r="H30" s="23">
        <f t="shared" si="20"/>
        <v>0</v>
      </c>
      <c r="I30" s="23">
        <f t="shared" si="20"/>
        <v>0</v>
      </c>
      <c r="J30" s="23">
        <f>0+0</f>
        <v>0</v>
      </c>
      <c r="K30" s="23">
        <f t="shared" si="20"/>
        <v>0</v>
      </c>
      <c r="L30" s="23">
        <f t="shared" si="20"/>
        <v>0</v>
      </c>
      <c r="M30" s="24">
        <f>3014.65+164.07</f>
        <v>3178.7200000000003</v>
      </c>
      <c r="N30" s="23">
        <f t="shared" si="18"/>
        <v>3243.0600000000004</v>
      </c>
    </row>
    <row r="31" spans="1:17" ht="20.25" customHeight="1" thickBot="1" x14ac:dyDescent="0.3">
      <c r="A31" s="10" t="s">
        <v>19</v>
      </c>
      <c r="B31" s="23">
        <v>0</v>
      </c>
      <c r="C31" s="13">
        <v>0</v>
      </c>
      <c r="D31" s="13">
        <v>0</v>
      </c>
      <c r="E31" s="23">
        <v>0</v>
      </c>
      <c r="F31" s="23">
        <v>0</v>
      </c>
      <c r="G31" s="23">
        <v>0</v>
      </c>
      <c r="H31" s="13">
        <v>0</v>
      </c>
      <c r="I31" s="13">
        <v>1925.74</v>
      </c>
      <c r="J31" s="13">
        <v>2428.09</v>
      </c>
      <c r="K31" s="23">
        <v>2544.4899999999998</v>
      </c>
      <c r="L31" s="23">
        <v>1785.86</v>
      </c>
      <c r="M31" s="23">
        <v>710.24</v>
      </c>
      <c r="N31" s="23">
        <f t="shared" si="18"/>
        <v>9394.42</v>
      </c>
    </row>
    <row r="32" spans="1:17" ht="19.5" customHeight="1" thickBot="1" x14ac:dyDescent="0.3">
      <c r="A32" s="10" t="s">
        <v>20</v>
      </c>
      <c r="B32" s="23">
        <v>15052.06</v>
      </c>
      <c r="C32" s="13">
        <v>10760.96</v>
      </c>
      <c r="D32" s="13">
        <v>4436.3500000000004</v>
      </c>
      <c r="E32" s="13">
        <v>6689.8</v>
      </c>
      <c r="F32" s="13">
        <v>5926.21</v>
      </c>
      <c r="G32" s="24">
        <v>21015.599999999999</v>
      </c>
      <c r="H32" s="13">
        <v>7130.22</v>
      </c>
      <c r="I32" s="13">
        <v>5055.49</v>
      </c>
      <c r="J32" s="13">
        <v>22255.9</v>
      </c>
      <c r="K32" s="13">
        <v>6754.23</v>
      </c>
      <c r="L32" s="13">
        <v>18124.53</v>
      </c>
      <c r="M32" s="13">
        <v>12018.1</v>
      </c>
      <c r="N32" s="23">
        <f t="shared" si="18"/>
        <v>135219.44999999998</v>
      </c>
    </row>
    <row r="33" spans="1:18" s="22" customFormat="1" ht="19.5" customHeight="1" thickBot="1" x14ac:dyDescent="0.3">
      <c r="A33" s="21" t="s">
        <v>28</v>
      </c>
      <c r="B33" s="24">
        <v>1500.16</v>
      </c>
      <c r="C33" s="24">
        <v>1417.06</v>
      </c>
      <c r="D33" s="24">
        <v>1763.77</v>
      </c>
      <c r="E33" s="24">
        <v>0</v>
      </c>
      <c r="F33" s="24">
        <v>0</v>
      </c>
      <c r="G33" s="24">
        <v>0</v>
      </c>
      <c r="H33" s="24">
        <v>0</v>
      </c>
      <c r="I33" s="24">
        <v>1942.96</v>
      </c>
      <c r="J33" s="24">
        <f>2449.79+0</f>
        <v>2449.79</v>
      </c>
      <c r="K33" s="24">
        <v>2567.23</v>
      </c>
      <c r="L33" s="24">
        <v>1801.84</v>
      </c>
      <c r="M33" s="24">
        <v>716.5</v>
      </c>
      <c r="N33" s="23">
        <f t="shared" si="18"/>
        <v>14159.31</v>
      </c>
      <c r="R33" s="26"/>
    </row>
    <row r="34" spans="1:18" ht="22.5" customHeight="1" thickBot="1" x14ac:dyDescent="0.3">
      <c r="A34" s="10" t="s">
        <v>6</v>
      </c>
      <c r="B34" s="23">
        <f>8265.2*3.6</f>
        <v>29754.720000000005</v>
      </c>
      <c r="C34" s="23">
        <f t="shared" ref="C34:G34" si="21">8265.2*3.6</f>
        <v>29754.720000000005</v>
      </c>
      <c r="D34" s="23">
        <f t="shared" si="21"/>
        <v>29754.720000000005</v>
      </c>
      <c r="E34" s="23">
        <f t="shared" si="21"/>
        <v>29754.720000000005</v>
      </c>
      <c r="F34" s="23">
        <f t="shared" si="21"/>
        <v>29754.720000000005</v>
      </c>
      <c r="G34" s="23">
        <f t="shared" si="21"/>
        <v>29754.720000000005</v>
      </c>
      <c r="H34" s="23">
        <f>8265.2*3.75</f>
        <v>30994.500000000004</v>
      </c>
      <c r="I34" s="23">
        <f t="shared" ref="I34:M34" si="22">8265.2*3.75</f>
        <v>30994.500000000004</v>
      </c>
      <c r="J34" s="23">
        <f t="shared" si="22"/>
        <v>30994.500000000004</v>
      </c>
      <c r="K34" s="23">
        <f t="shared" si="22"/>
        <v>30994.500000000004</v>
      </c>
      <c r="L34" s="23">
        <f t="shared" si="22"/>
        <v>30994.500000000004</v>
      </c>
      <c r="M34" s="23">
        <f t="shared" si="22"/>
        <v>30994.500000000004</v>
      </c>
      <c r="N34" s="23">
        <f t="shared" si="18"/>
        <v>364495.32000000007</v>
      </c>
    </row>
    <row r="35" spans="1:18" ht="20.25" customHeight="1" thickBot="1" x14ac:dyDescent="0.3">
      <c r="A35" s="10" t="s">
        <v>25</v>
      </c>
      <c r="B35" s="23">
        <f>7553.56*4</f>
        <v>30214.240000000002</v>
      </c>
      <c r="C35" s="23">
        <f>5469.81*4</f>
        <v>21879.24</v>
      </c>
      <c r="D35" s="23">
        <f>0.01*4</f>
        <v>0.04</v>
      </c>
      <c r="E35" s="23">
        <f>5293.6*4</f>
        <v>21174.400000000001</v>
      </c>
      <c r="F35" s="23">
        <f>7940.4*4</f>
        <v>31761.599999999999</v>
      </c>
      <c r="G35" s="23">
        <f>7940.4*4</f>
        <v>31761.599999999999</v>
      </c>
      <c r="H35" s="23">
        <f>7940.4*4</f>
        <v>31761.599999999999</v>
      </c>
      <c r="I35" s="23">
        <f>7594.28*4</f>
        <v>30377.119999999999</v>
      </c>
      <c r="J35" s="23">
        <f>7594.28*4</f>
        <v>30377.119999999999</v>
      </c>
      <c r="K35" s="23">
        <f>7594.28*4</f>
        <v>30377.119999999999</v>
      </c>
      <c r="L35" s="23">
        <f>7594.28*4</f>
        <v>30377.119999999999</v>
      </c>
      <c r="M35" s="23">
        <f>7594.28*4</f>
        <v>30377.119999999999</v>
      </c>
      <c r="N35" s="23">
        <f t="shared" si="18"/>
        <v>320438.32</v>
      </c>
    </row>
    <row r="36" spans="1:18" ht="18.75" customHeight="1" thickBot="1" x14ac:dyDescent="0.3">
      <c r="A36" s="10" t="s">
        <v>26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f t="shared" si="18"/>
        <v>0</v>
      </c>
    </row>
    <row r="37" spans="1:18" ht="21.75" customHeight="1" thickBot="1" x14ac:dyDescent="0.3">
      <c r="A37" s="10" t="s">
        <v>46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13">
        <v>10762.85</v>
      </c>
      <c r="K37" s="13">
        <f>10459.71+18095.64</f>
        <v>28555.35</v>
      </c>
      <c r="L37" s="13">
        <v>10066.11</v>
      </c>
      <c r="M37" s="13">
        <v>10010.42</v>
      </c>
      <c r="N37" s="23">
        <f t="shared" si="18"/>
        <v>59394.729999999996</v>
      </c>
    </row>
    <row r="38" spans="1:18" ht="21.75" customHeight="1" thickBot="1" x14ac:dyDescent="0.3">
      <c r="A38" s="10" t="s">
        <v>47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f>2455+5664.79</f>
        <v>8119.79</v>
      </c>
      <c r="K38" s="23">
        <f>2385+5504.87+3788+7257.47</f>
        <v>18935.34</v>
      </c>
      <c r="L38" s="23">
        <f>2296+5298.05</f>
        <v>7594.05</v>
      </c>
      <c r="M38" s="23">
        <f>2283+5268.61</f>
        <v>7551.61</v>
      </c>
      <c r="N38" s="23">
        <f t="shared" si="18"/>
        <v>42200.79</v>
      </c>
    </row>
    <row r="39" spans="1:18" ht="21" customHeight="1" thickBot="1" x14ac:dyDescent="0.3">
      <c r="A39" s="10" t="s">
        <v>23</v>
      </c>
      <c r="B39" s="23">
        <f t="shared" ref="B39:G39" si="23">900+900</f>
        <v>1800</v>
      </c>
      <c r="C39" s="23">
        <f t="shared" si="23"/>
        <v>1800</v>
      </c>
      <c r="D39" s="23">
        <f t="shared" si="23"/>
        <v>1800</v>
      </c>
      <c r="E39" s="23">
        <f t="shared" si="23"/>
        <v>1800</v>
      </c>
      <c r="F39" s="23">
        <f t="shared" si="23"/>
        <v>1800</v>
      </c>
      <c r="G39" s="23">
        <f t="shared" si="23"/>
        <v>1800</v>
      </c>
      <c r="H39" s="23">
        <f t="shared" ref="H39:M39" si="24">900+900</f>
        <v>1800</v>
      </c>
      <c r="I39" s="23">
        <f t="shared" si="24"/>
        <v>1800</v>
      </c>
      <c r="J39" s="23">
        <f t="shared" si="24"/>
        <v>1800</v>
      </c>
      <c r="K39" s="23">
        <f t="shared" si="24"/>
        <v>1800</v>
      </c>
      <c r="L39" s="23">
        <f t="shared" si="24"/>
        <v>1800</v>
      </c>
      <c r="M39" s="23">
        <f t="shared" si="24"/>
        <v>1800</v>
      </c>
      <c r="N39" s="23">
        <f t="shared" si="18"/>
        <v>21600</v>
      </c>
      <c r="R39" s="20"/>
    </row>
    <row r="40" spans="1:18" ht="19.5" customHeight="1" thickBot="1" x14ac:dyDescent="0.3">
      <c r="A40" s="10" t="s">
        <v>27</v>
      </c>
      <c r="B40" s="23">
        <v>1800</v>
      </c>
      <c r="C40" s="23">
        <v>1800</v>
      </c>
      <c r="D40" s="23">
        <v>1800</v>
      </c>
      <c r="E40" s="23">
        <v>1800</v>
      </c>
      <c r="F40" s="23">
        <v>1800</v>
      </c>
      <c r="G40" s="23">
        <v>1800</v>
      </c>
      <c r="H40" s="23">
        <v>1800</v>
      </c>
      <c r="I40" s="23">
        <v>1800</v>
      </c>
      <c r="J40" s="23">
        <v>1800</v>
      </c>
      <c r="K40" s="23">
        <v>1800</v>
      </c>
      <c r="L40" s="23">
        <v>1800</v>
      </c>
      <c r="M40" s="23">
        <v>1800</v>
      </c>
      <c r="N40" s="23">
        <f t="shared" si="18"/>
        <v>21600</v>
      </c>
    </row>
    <row r="41" spans="1:18" ht="20.25" customHeight="1" thickBot="1" x14ac:dyDescent="0.3">
      <c r="A41" s="10" t="s">
        <v>10</v>
      </c>
      <c r="B41" s="23">
        <f>981.1+2036.8+321+22450.4+1128.6+8855.4</f>
        <v>35773.300000000003</v>
      </c>
      <c r="C41" s="13">
        <f>3337.9+81226.77+684</f>
        <v>85248.67</v>
      </c>
      <c r="D41" s="13">
        <f>4809.4</f>
        <v>4809.3999999999996</v>
      </c>
      <c r="E41" s="13">
        <f>2499.3+5303+2300</f>
        <v>10102.299999999999</v>
      </c>
      <c r="F41" s="13">
        <f>328.5+481+17136.4</f>
        <v>17945.900000000001</v>
      </c>
      <c r="G41" s="24">
        <f>1600</f>
        <v>1600</v>
      </c>
      <c r="H41" s="13">
        <f>10030.9+2256.2+3170</f>
        <v>15457.099999999999</v>
      </c>
      <c r="I41" s="13">
        <f>4100.9+9227.5+1829.1</f>
        <v>15157.5</v>
      </c>
      <c r="J41" s="13">
        <f>1727.2+21510.2+863.6+315</f>
        <v>24416</v>
      </c>
      <c r="K41" s="13">
        <f>10299.8+5923.9+18700</f>
        <v>34923.699999999997</v>
      </c>
      <c r="L41" s="13">
        <f>525+9103</f>
        <v>9628</v>
      </c>
      <c r="M41" s="13">
        <f>1337.8</f>
        <v>1337.8</v>
      </c>
      <c r="N41" s="23">
        <f t="shared" si="18"/>
        <v>256399.66999999998</v>
      </c>
    </row>
    <row r="42" spans="1:18" ht="22.5" customHeight="1" thickBot="1" x14ac:dyDescent="0.3">
      <c r="A42" s="6" t="s">
        <v>21</v>
      </c>
      <c r="B42" s="12">
        <f t="shared" ref="B42:M42" si="25">SUM(B25:B41)</f>
        <v>204903.82870000001</v>
      </c>
      <c r="C42" s="12">
        <f t="shared" si="25"/>
        <v>241061.22236999997</v>
      </c>
      <c r="D42" s="12">
        <f t="shared" si="25"/>
        <v>132281.82961000002</v>
      </c>
      <c r="E42" s="12">
        <f t="shared" si="25"/>
        <v>158103.83082</v>
      </c>
      <c r="F42" s="12">
        <f t="shared" si="25"/>
        <v>176848.48555000001</v>
      </c>
      <c r="G42" s="12">
        <f t="shared" si="25"/>
        <v>174669.14923000001</v>
      </c>
      <c r="H42" s="12">
        <f t="shared" si="25"/>
        <v>177126.48462000003</v>
      </c>
      <c r="I42" s="12">
        <f t="shared" si="25"/>
        <v>178332.72103000004</v>
      </c>
      <c r="J42" s="12">
        <f t="shared" si="25"/>
        <v>224186.69438000003</v>
      </c>
      <c r="K42" s="12">
        <f t="shared" si="25"/>
        <v>248036.01439999999</v>
      </c>
      <c r="L42" s="12">
        <f t="shared" si="25"/>
        <v>202630.55768999999</v>
      </c>
      <c r="M42" s="12">
        <f t="shared" si="25"/>
        <v>190206.00342000002</v>
      </c>
      <c r="N42" s="12">
        <f>SUM(B42:M42)</f>
        <v>2308386.8218200002</v>
      </c>
      <c r="Q42" s="20"/>
    </row>
    <row r="43" spans="1:18" ht="18" customHeight="1" thickBot="1" x14ac:dyDescent="0.3">
      <c r="A43" s="7" t="s">
        <v>5</v>
      </c>
      <c r="B43" s="15">
        <f t="shared" ref="B43:N43" si="26">B15-B42</f>
        <v>40194.681299999967</v>
      </c>
      <c r="C43" s="15">
        <f t="shared" si="26"/>
        <v>-17144.192369999975</v>
      </c>
      <c r="D43" s="15">
        <f t="shared" si="26"/>
        <v>94726.470389999944</v>
      </c>
      <c r="E43" s="15">
        <f t="shared" si="26"/>
        <v>28735.169179999997</v>
      </c>
      <c r="F43" s="15">
        <f t="shared" si="26"/>
        <v>52737.70444999999</v>
      </c>
      <c r="G43" s="30">
        <f t="shared" si="26"/>
        <v>16833.540769999992</v>
      </c>
      <c r="H43" s="15">
        <f t="shared" si="26"/>
        <v>22327.295379999967</v>
      </c>
      <c r="I43" s="15">
        <f t="shared" si="26"/>
        <v>69364.90896999996</v>
      </c>
      <c r="J43" s="15">
        <f t="shared" si="26"/>
        <v>4687.3856199999864</v>
      </c>
      <c r="K43" s="15">
        <f t="shared" si="26"/>
        <v>-33038.204399999988</v>
      </c>
      <c r="L43" s="15">
        <f t="shared" si="26"/>
        <v>22215.442309999984</v>
      </c>
      <c r="M43" s="15">
        <f t="shared" si="26"/>
        <v>62417.226579999959</v>
      </c>
      <c r="N43" s="13">
        <f t="shared" si="26"/>
        <v>364057.42817999981</v>
      </c>
    </row>
    <row r="44" spans="1:18" ht="23.25" customHeight="1" thickBot="1" x14ac:dyDescent="0.3">
      <c r="A44" s="7" t="s">
        <v>7</v>
      </c>
      <c r="B44" s="16">
        <f t="shared" ref="B44:N44" si="27">B4+B43</f>
        <v>-729779.63870000001</v>
      </c>
      <c r="C44" s="16">
        <f t="shared" si="27"/>
        <v>-746923.83106999996</v>
      </c>
      <c r="D44" s="16">
        <f t="shared" si="27"/>
        <v>-652197.36068000004</v>
      </c>
      <c r="E44" s="16">
        <f t="shared" si="27"/>
        <v>-623462.19150000007</v>
      </c>
      <c r="F44" s="16">
        <f t="shared" si="27"/>
        <v>-570724.48705000011</v>
      </c>
      <c r="G44" s="32">
        <f t="shared" si="27"/>
        <v>-553890.94628000015</v>
      </c>
      <c r="H44" s="16">
        <f t="shared" si="27"/>
        <v>-531563.65090000024</v>
      </c>
      <c r="I44" s="16">
        <f t="shared" si="27"/>
        <v>-462198.74193000025</v>
      </c>
      <c r="J44" s="16">
        <f t="shared" si="27"/>
        <v>-457511.35631000029</v>
      </c>
      <c r="K44" s="16">
        <f t="shared" si="27"/>
        <v>-490549.56071000028</v>
      </c>
      <c r="L44" s="16">
        <f t="shared" si="27"/>
        <v>-468334.11840000027</v>
      </c>
      <c r="M44" s="16">
        <f t="shared" si="27"/>
        <v>-405916.89182000031</v>
      </c>
      <c r="N44" s="16">
        <f t="shared" si="27"/>
        <v>-405916.89182000014</v>
      </c>
    </row>
    <row r="45" spans="1:18" ht="23.25" customHeight="1" thickBot="1" x14ac:dyDescent="0.3">
      <c r="A45" s="7" t="s">
        <v>48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55386.49</v>
      </c>
      <c r="J45" s="23">
        <v>0</v>
      </c>
      <c r="K45" s="23">
        <v>0</v>
      </c>
      <c r="L45" s="23">
        <v>0</v>
      </c>
      <c r="M45" s="23">
        <v>0</v>
      </c>
      <c r="N45" s="23">
        <f>SUM(B45:M45)</f>
        <v>55386.49</v>
      </c>
    </row>
    <row r="46" spans="1:18" ht="27" customHeight="1" thickBot="1" x14ac:dyDescent="0.3">
      <c r="A46" s="9" t="s">
        <v>11</v>
      </c>
      <c r="B46" s="19">
        <f>B5+B15-B6</f>
        <v>-818860.54999999993</v>
      </c>
      <c r="C46" s="19">
        <f t="shared" ref="C46:H46" si="28">C5+C15-C6</f>
        <v>-823491.29999999981</v>
      </c>
      <c r="D46" s="19">
        <f t="shared" si="28"/>
        <v>-795992.0199999999</v>
      </c>
      <c r="E46" s="19">
        <f t="shared" si="28"/>
        <v>-814802.74999999988</v>
      </c>
      <c r="F46" s="19">
        <f t="shared" si="28"/>
        <v>-791288.22999999975</v>
      </c>
      <c r="G46" s="29">
        <f t="shared" si="28"/>
        <v>-805234.42999999982</v>
      </c>
      <c r="H46" s="19">
        <f t="shared" si="28"/>
        <v>-855203.83999999985</v>
      </c>
      <c r="I46" s="19">
        <f>I5+I15-I6+I45</f>
        <v>-787656.08999999985</v>
      </c>
      <c r="J46" s="19">
        <f t="shared" ref="J46:N46" si="29">J5+J15-J6+J45</f>
        <v>-796113.82999999984</v>
      </c>
      <c r="K46" s="19">
        <f t="shared" si="29"/>
        <v>-836656.38999999978</v>
      </c>
      <c r="L46" s="19">
        <f t="shared" si="29"/>
        <v>-852082.39999999979</v>
      </c>
      <c r="M46" s="19">
        <f t="shared" si="29"/>
        <v>-849578.5299999998</v>
      </c>
      <c r="N46" s="19">
        <f t="shared" si="29"/>
        <v>-849578.5299999991</v>
      </c>
    </row>
    <row r="52" spans="4:6" x14ac:dyDescent="0.25">
      <c r="F52" s="20"/>
    </row>
    <row r="53" spans="4:6" x14ac:dyDescent="0.25">
      <c r="D53" s="25"/>
    </row>
  </sheetData>
  <mergeCells count="1">
    <mergeCell ref="A1:N1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2025-03-17T08:30:23Z</cp:lastPrinted>
  <dcterms:created xsi:type="dcterms:W3CDTF">2011-06-06T03:25:48Z</dcterms:created>
  <dcterms:modified xsi:type="dcterms:W3CDTF">2025-03-17T08:35:19Z</dcterms:modified>
</cp:coreProperties>
</file>