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N20" i="1" l="1"/>
  <c r="N12" i="1"/>
  <c r="L38" i="1" l="1"/>
  <c r="K38" i="1" l="1"/>
  <c r="M30" i="1" l="1"/>
  <c r="M25" i="1" l="1"/>
  <c r="M14" i="1"/>
  <c r="M24" i="1"/>
  <c r="M6" i="1"/>
  <c r="L25" i="1" l="1"/>
  <c r="L14" i="1"/>
  <c r="L24" i="1"/>
  <c r="L6" i="1"/>
  <c r="K25" i="1" l="1"/>
  <c r="K14" i="1"/>
  <c r="K24" i="1"/>
  <c r="K6" i="1"/>
  <c r="K31" i="1"/>
  <c r="L31" i="1"/>
  <c r="M31" i="1"/>
  <c r="K26" i="1"/>
  <c r="L26" i="1"/>
  <c r="M26" i="1"/>
  <c r="K23" i="1"/>
  <c r="L23" i="1"/>
  <c r="M23" i="1"/>
  <c r="K22" i="1"/>
  <c r="L22" i="1"/>
  <c r="M22" i="1"/>
  <c r="N34" i="1" l="1"/>
  <c r="N35" i="1"/>
  <c r="J38" i="1" l="1"/>
  <c r="H30" i="1" l="1"/>
  <c r="H31" i="1" l="1"/>
  <c r="I31" i="1"/>
  <c r="J31" i="1"/>
  <c r="J25" i="1" l="1"/>
  <c r="J14" i="1"/>
  <c r="J24" i="1"/>
  <c r="J6" i="1"/>
  <c r="H38" i="1" l="1"/>
  <c r="I25" i="1" l="1"/>
  <c r="I14" i="1"/>
  <c r="I24" i="1"/>
  <c r="I6" i="1"/>
  <c r="H25" i="1" l="1"/>
  <c r="H14" i="1"/>
  <c r="H24" i="1"/>
  <c r="H6" i="1"/>
  <c r="H26" i="1" l="1"/>
  <c r="I26" i="1"/>
  <c r="J26" i="1"/>
  <c r="H23" i="1"/>
  <c r="I23" i="1"/>
  <c r="J23" i="1"/>
  <c r="H22" i="1"/>
  <c r="I22" i="1"/>
  <c r="J22" i="1"/>
  <c r="F38" i="1" l="1"/>
  <c r="G30" i="1" l="1"/>
  <c r="F30" i="1"/>
  <c r="E30" i="1"/>
  <c r="G25" i="1" l="1"/>
  <c r="G14" i="1"/>
  <c r="G24" i="1"/>
  <c r="G6" i="1"/>
  <c r="E38" i="1" l="1"/>
  <c r="F25" i="1" l="1"/>
  <c r="F14" i="1"/>
  <c r="F24" i="1"/>
  <c r="F6" i="1"/>
  <c r="E25" i="1" l="1"/>
  <c r="E14" i="1"/>
  <c r="E24" i="1"/>
  <c r="E6" i="1"/>
  <c r="E31" i="1" l="1"/>
  <c r="F31" i="1"/>
  <c r="G31" i="1"/>
  <c r="E26" i="1"/>
  <c r="F26" i="1"/>
  <c r="G26" i="1"/>
  <c r="E23" i="1"/>
  <c r="F23" i="1"/>
  <c r="G23" i="1"/>
  <c r="E22" i="1"/>
  <c r="F22" i="1"/>
  <c r="G22" i="1"/>
  <c r="D38" i="1" l="1"/>
  <c r="D30" i="1" l="1"/>
  <c r="C30" i="1"/>
  <c r="B30" i="1"/>
  <c r="D25" i="1" l="1"/>
  <c r="D14" i="1"/>
  <c r="D24" i="1"/>
  <c r="D6" i="1"/>
  <c r="C25" i="1" l="1"/>
  <c r="C14" i="1"/>
  <c r="C24" i="1"/>
  <c r="C6" i="1"/>
  <c r="B25" i="1" l="1"/>
  <c r="B14" i="1"/>
  <c r="B24" i="1"/>
  <c r="B6" i="1"/>
  <c r="C31" i="1" l="1"/>
  <c r="D31" i="1"/>
  <c r="C26" i="1"/>
  <c r="D26" i="1"/>
  <c r="C23" i="1"/>
  <c r="D23" i="1"/>
  <c r="C22" i="1"/>
  <c r="D22" i="1"/>
  <c r="B31" i="1"/>
  <c r="B26" i="1"/>
  <c r="B23" i="1"/>
  <c r="B22" i="1"/>
  <c r="N32" i="1" l="1"/>
  <c r="B13" i="1" l="1"/>
  <c r="N4" i="1" l="1"/>
  <c r="N3" i="1"/>
  <c r="N31" i="1" l="1"/>
  <c r="N29" i="1"/>
  <c r="N28" i="1"/>
  <c r="M5" i="1" l="1"/>
  <c r="K5" i="1"/>
  <c r="N22" i="1"/>
  <c r="N23" i="1"/>
  <c r="N26" i="1"/>
  <c r="N27" i="1"/>
  <c r="N30" i="1"/>
  <c r="N33" i="1"/>
  <c r="N36" i="1"/>
  <c r="N37" i="1"/>
  <c r="N15" i="1"/>
  <c r="N16" i="1"/>
  <c r="N17" i="1"/>
  <c r="N18" i="1"/>
  <c r="N19" i="1"/>
  <c r="K13" i="1"/>
  <c r="L13" i="1"/>
  <c r="M13" i="1"/>
  <c r="N7" i="1"/>
  <c r="N8" i="1"/>
  <c r="N9" i="1"/>
  <c r="N10" i="1"/>
  <c r="N11" i="1"/>
  <c r="L5" i="1"/>
  <c r="M39" i="1" l="1"/>
  <c r="M40" i="1" s="1"/>
  <c r="L39" i="1"/>
  <c r="L40" i="1" s="1"/>
  <c r="K39" i="1"/>
  <c r="K40" i="1" s="1"/>
  <c r="I5" i="1" l="1"/>
  <c r="J13" i="1"/>
  <c r="J5" i="1" l="1"/>
  <c r="J39" i="1"/>
  <c r="J40" i="1" s="1"/>
  <c r="H13" i="1"/>
  <c r="I13" i="1"/>
  <c r="H5" i="1"/>
  <c r="H39" i="1" l="1"/>
  <c r="N14" i="1"/>
  <c r="I39" i="1"/>
  <c r="I40" i="1" s="1"/>
  <c r="N6" i="1"/>
  <c r="N38" i="1"/>
  <c r="N24" i="1"/>
  <c r="E13" i="1"/>
  <c r="G13" i="1"/>
  <c r="E5" i="1"/>
  <c r="F5" i="1"/>
  <c r="G5" i="1"/>
  <c r="G39" i="1" l="1"/>
  <c r="G40" i="1" s="1"/>
  <c r="E39" i="1"/>
  <c r="E40" i="1" s="1"/>
  <c r="N25" i="1"/>
  <c r="H40" i="1"/>
  <c r="D13" i="1"/>
  <c r="D5" i="1"/>
  <c r="C13" i="1"/>
  <c r="C5" i="1"/>
  <c r="B5" i="1"/>
  <c r="N5" i="1" l="1"/>
  <c r="B42" i="1"/>
  <c r="C4" i="1" s="1"/>
  <c r="D39" i="1"/>
  <c r="D40" i="1" s="1"/>
  <c r="C39" i="1"/>
  <c r="C40" i="1" s="1"/>
  <c r="C42" i="1" l="1"/>
  <c r="D4" i="1" s="1"/>
  <c r="D42" i="1" s="1"/>
  <c r="E4" i="1" s="1"/>
  <c r="B39" i="1"/>
  <c r="E42" i="1" l="1"/>
  <c r="F4" i="1" s="1"/>
  <c r="B40" i="1"/>
  <c r="F13" i="1"/>
  <c r="N13" i="1" l="1"/>
  <c r="F42" i="1"/>
  <c r="B41" i="1"/>
  <c r="C3" i="1" s="1"/>
  <c r="C41" i="1" l="1"/>
  <c r="D41" i="1" s="1"/>
  <c r="E3" i="1" s="1"/>
  <c r="G4" i="1"/>
  <c r="F39" i="1"/>
  <c r="N39" i="1" s="1"/>
  <c r="G42" i="1" l="1"/>
  <c r="H4" i="1" s="1"/>
  <c r="H42" i="1" s="1"/>
  <c r="I4" i="1" s="1"/>
  <c r="I42" i="1" s="1"/>
  <c r="D3" i="1"/>
  <c r="F40" i="1"/>
  <c r="N40" i="1" s="1"/>
  <c r="N41" i="1" s="1"/>
  <c r="E41" i="1"/>
  <c r="F3" i="1" s="1"/>
  <c r="J4" i="1" l="1"/>
  <c r="J42" i="1" s="1"/>
  <c r="K4" i="1" s="1"/>
  <c r="K42" i="1" s="1"/>
  <c r="L4" i="1" s="1"/>
  <c r="L42" i="1" s="1"/>
  <c r="M4" i="1" s="1"/>
  <c r="M42" i="1" s="1"/>
  <c r="F41" i="1"/>
  <c r="G3" i="1" l="1"/>
  <c r="G41" i="1"/>
  <c r="H3" i="1" s="1"/>
  <c r="H41" i="1" l="1"/>
  <c r="I3" i="1" s="1"/>
  <c r="I41" i="1" l="1"/>
  <c r="J41" i="1" l="1"/>
  <c r="J3" i="1"/>
  <c r="K41" i="1" l="1"/>
  <c r="L3" i="1" s="1"/>
  <c r="K3" i="1"/>
  <c r="L41" i="1" l="1"/>
  <c r="M3" i="1" s="1"/>
  <c r="N42" i="1"/>
  <c r="M41" i="1" l="1"/>
</calcChain>
</file>

<file path=xl/sharedStrings.xml><?xml version="1.0" encoding="utf-8"?>
<sst xmlns="http://schemas.openxmlformats.org/spreadsheetml/2006/main" count="55" uniqueCount="47">
  <si>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</si>
  <si>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</si>
  <si>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</si>
  <si>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</si>
  <si>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</si>
  <si>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</si>
  <si>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</si>
  <si>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</si>
  <si>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</si>
  <si>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</si>
  <si>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</si>
  <si>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</si>
  <si>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</si>
  <si>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</si>
  <si>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</si>
  <si>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</si>
  <si>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</si>
  <si>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</si>
  <si>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</si>
  <si>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</si>
  <si>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</si>
  <si>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</si>
  <si>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</si>
  <si>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</si>
  <si>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</si>
  <si>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ЕИРКЦ /за ведение счета по кап.ремонту/</t>
  </si>
  <si>
    <t>Отведение сточных вод ОИ</t>
  </si>
  <si>
    <t>Содержание жилья и текущий ремонт, ОПУ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</si>
  <si>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</si>
  <si>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</si>
  <si>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</si>
  <si>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</si>
  <si>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</si>
  <si>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</si>
  <si>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</si>
  <si>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</si>
  <si>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</si>
  <si>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</si>
  <si>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2023г.</t>
  </si>
  <si>
    <t>Ноябрь 2023г.</t>
  </si>
  <si>
    <t>Декабрь 2023г.</t>
  </si>
  <si>
    <t>Всего:                       за  2023г.</t>
  </si>
  <si>
    <t>Возмещение расходов совета МКД</t>
  </si>
  <si>
    <t>Удержание НДФЛ за 2023 год</t>
  </si>
  <si>
    <t>Удержание НДФЛ за 2021 год по решению суда</t>
  </si>
  <si>
    <t xml:space="preserve">   ОТЧЕТ по дому Мухачева, 133 за период 01.01.2023г. по 31.12.2023г.</t>
  </si>
  <si>
    <t>Дополнительный доход (использование общего имущества)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</si>
</sst>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10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6" fillId="0" borderId="5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B1" zoomScale="75" workbookViewId="0">
      <selection sqref="A1:N1"/>
    </sheetView>
  </sheetViews>
  <sheetFormatPr defaultRowHeight="13.2" x14ac:dyDescent="0.25"/>
  <cols>
    <col min="1" max="1" width="58.6640625" customWidth="1"/>
    <col min="2" max="12" width="13.6640625" customWidth="1"/>
    <col min="13" max="13" width="13.33203125" customWidth="1"/>
    <col min="14" max="14" width="15.21875" customWidth="1"/>
  </cols>
  <sheetData>
    <row r="1" spans="1:15" ht="20.25" customHeight="1" thickBot="1" x14ac:dyDescent="0.45">
      <c r="A1" s="27" t="s">
        <v>45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6"/>
    </row>
    <row r="2" spans="1:15" ht="38.25" customHeight="1" thickBot="1" x14ac:dyDescent="0.3">
      <c r="A2" s="1" t="s">
        <v>0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</row>
    <row r="3" spans="1:15" ht="23.25" customHeight="1" thickBot="1" x14ac:dyDescent="0.3">
      <c r="A3" s="3" t="s">
        <v>15</v>
      </c>
      <c r="B3" s="13">
        <v>-649600.75</v>
      </c>
      <c r="C3" s="13">
        <f t="shared" ref="C3:D4" si="0">B41</f>
        <v>-627169.21559000004</v>
      </c>
      <c r="D3" s="13">
        <f t="shared" si="0"/>
        <v>-617272.6568900001</v>
      </c>
      <c r="E3" s="13">
        <f t="shared" ref="E3:E4" si="1">D41</f>
        <v>-653342.47450000013</v>
      </c>
      <c r="F3" s="13">
        <f t="shared" ref="F3:F4" si="2">E41</f>
        <v>-646179.71467000013</v>
      </c>
      <c r="G3" s="13">
        <f t="shared" ref="G3:G4" si="3">F41</f>
        <v>-625227.18202000018</v>
      </c>
      <c r="H3" s="13">
        <f t="shared" ref="H3:H4" si="4">G41</f>
        <v>-586673.83850000019</v>
      </c>
      <c r="I3" s="13">
        <f t="shared" ref="I3:I4" si="5">H41</f>
        <v>-561942.54012000014</v>
      </c>
      <c r="J3" s="13">
        <f t="shared" ref="J3:J4" si="6">I41</f>
        <v>-539200.49851000018</v>
      </c>
      <c r="K3" s="13">
        <f t="shared" ref="K3:K4" si="7">J41</f>
        <v>-511493.87795000023</v>
      </c>
      <c r="L3" s="13">
        <f t="shared" ref="L3:L4" si="8">K41</f>
        <v>-485883.30717000022</v>
      </c>
      <c r="M3" s="13">
        <f t="shared" ref="M3:M4" si="9">L41</f>
        <v>-452598.79274000018</v>
      </c>
      <c r="N3" s="13">
        <f>B3</f>
        <v>-649600.75</v>
      </c>
    </row>
    <row r="4" spans="1:15" ht="21" customHeight="1" thickBot="1" x14ac:dyDescent="0.3">
      <c r="A4" s="3" t="s">
        <v>13</v>
      </c>
      <c r="B4" s="13">
        <v>-277068.13</v>
      </c>
      <c r="C4" s="13">
        <f t="shared" si="0"/>
        <v>-293267.07999999996</v>
      </c>
      <c r="D4" s="13">
        <f t="shared" si="0"/>
        <v>-298516.86</v>
      </c>
      <c r="E4" s="13">
        <f t="shared" si="1"/>
        <v>-288528.43</v>
      </c>
      <c r="F4" s="13">
        <f t="shared" si="2"/>
        <v>-292847.08</v>
      </c>
      <c r="G4" s="13">
        <f t="shared" si="3"/>
        <v>-304856.09999999998</v>
      </c>
      <c r="H4" s="13">
        <f t="shared" si="4"/>
        <v>-299320.23</v>
      </c>
      <c r="I4" s="13">
        <f t="shared" si="5"/>
        <v>-304138.06999999995</v>
      </c>
      <c r="J4" s="13">
        <f t="shared" si="6"/>
        <v>-318626.43999999994</v>
      </c>
      <c r="K4" s="13">
        <f t="shared" si="7"/>
        <v>-321155.20999999996</v>
      </c>
      <c r="L4" s="13">
        <f t="shared" si="8"/>
        <v>-302786.93999999994</v>
      </c>
      <c r="M4" s="13">
        <f t="shared" si="9"/>
        <v>-296785.10999999993</v>
      </c>
      <c r="N4" s="13">
        <f>B4</f>
        <v>-277068.13</v>
      </c>
    </row>
    <row r="5" spans="1:15" ht="20.25" customHeight="1" thickBot="1" x14ac:dyDescent="0.3">
      <c r="A5" s="4" t="s">
        <v>12</v>
      </c>
      <c r="B5" s="14">
        <f>SUM(B6:B11)</f>
        <v>123602.53</v>
      </c>
      <c r="C5" s="14">
        <f>SUM(C6:C11)</f>
        <v>118799.9</v>
      </c>
      <c r="D5" s="14">
        <f>SUM(D6:D11)</f>
        <v>117577.06999999999</v>
      </c>
      <c r="E5" s="14">
        <f t="shared" ref="E5:M5" si="10">SUM(E6:E11)</f>
        <v>116543.39</v>
      </c>
      <c r="F5" s="14">
        <f t="shared" si="10"/>
        <v>121340.15</v>
      </c>
      <c r="G5" s="14">
        <f t="shared" si="10"/>
        <v>117302.46</v>
      </c>
      <c r="H5" s="14">
        <f t="shared" si="10"/>
        <v>116669.94</v>
      </c>
      <c r="I5" s="14">
        <f t="shared" si="10"/>
        <v>119064.33</v>
      </c>
      <c r="J5" s="14">
        <f t="shared" si="10"/>
        <v>115791.18000000001</v>
      </c>
      <c r="K5" s="14">
        <f t="shared" si="10"/>
        <v>115443.04</v>
      </c>
      <c r="L5" s="14">
        <f t="shared" si="10"/>
        <v>113800.39</v>
      </c>
      <c r="M5" s="14">
        <f t="shared" si="10"/>
        <v>115490.46999999999</v>
      </c>
      <c r="N5" s="14">
        <f>SUM(B5:M5)</f>
        <v>1411424.8499999999</v>
      </c>
    </row>
    <row r="6" spans="1:15" ht="21" customHeight="1" thickBot="1" x14ac:dyDescent="0.3">
      <c r="A6" s="8" t="s">
        <v>27</v>
      </c>
      <c r="B6" s="15">
        <f t="shared" ref="B6:G6" si="11">100384.14+1484.23</f>
        <v>101868.37</v>
      </c>
      <c r="C6" s="15">
        <f t="shared" si="11"/>
        <v>101868.37</v>
      </c>
      <c r="D6" s="15">
        <f t="shared" si="11"/>
        <v>101868.37</v>
      </c>
      <c r="E6" s="15">
        <f t="shared" si="11"/>
        <v>101868.37</v>
      </c>
      <c r="F6" s="15">
        <f t="shared" si="11"/>
        <v>101868.37</v>
      </c>
      <c r="G6" s="15">
        <f t="shared" si="11"/>
        <v>101868.37</v>
      </c>
      <c r="H6" s="15">
        <f t="shared" ref="H6:M6" si="12">100384.14+1484.23</f>
        <v>101868.37</v>
      </c>
      <c r="I6" s="15">
        <f t="shared" si="12"/>
        <v>101868.37</v>
      </c>
      <c r="J6" s="15">
        <f t="shared" si="12"/>
        <v>101868.37</v>
      </c>
      <c r="K6" s="15">
        <f t="shared" si="12"/>
        <v>101868.37</v>
      </c>
      <c r="L6" s="15">
        <f t="shared" si="12"/>
        <v>101868.37</v>
      </c>
      <c r="M6" s="15">
        <f t="shared" si="12"/>
        <v>101868.37</v>
      </c>
      <c r="N6" s="15">
        <f>SUM(B6:M6)</f>
        <v>1222420.44</v>
      </c>
    </row>
    <row r="7" spans="1:15" ht="21.75" customHeight="1" thickBot="1" x14ac:dyDescent="0.3">
      <c r="A7" s="8" t="s">
        <v>16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f t="shared" ref="N7:N12" si="13">SUM(B7:M7)</f>
        <v>0</v>
      </c>
    </row>
    <row r="8" spans="1:15" ht="18.75" customHeight="1" thickBot="1" x14ac:dyDescent="0.3">
      <c r="A8" s="8" t="s">
        <v>17</v>
      </c>
      <c r="B8" s="15">
        <v>2343.7800000000002</v>
      </c>
      <c r="C8" s="15">
        <v>1992.77</v>
      </c>
      <c r="D8" s="15">
        <v>612.34</v>
      </c>
      <c r="E8" s="15">
        <v>1449.17</v>
      </c>
      <c r="F8" s="15">
        <v>1904.33</v>
      </c>
      <c r="G8" s="15">
        <v>899.5</v>
      </c>
      <c r="H8" s="15">
        <v>1335.64</v>
      </c>
      <c r="I8" s="15">
        <v>1350.44</v>
      </c>
      <c r="J8" s="15">
        <v>0</v>
      </c>
      <c r="K8" s="15">
        <v>0</v>
      </c>
      <c r="L8" s="15">
        <v>0</v>
      </c>
      <c r="M8" s="15">
        <v>0</v>
      </c>
      <c r="N8" s="15">
        <f t="shared" si="13"/>
        <v>11887.97</v>
      </c>
    </row>
    <row r="9" spans="1:15" ht="18.75" customHeight="1" thickBot="1" x14ac:dyDescent="0.3">
      <c r="A9" s="8" t="s">
        <v>18</v>
      </c>
      <c r="B9" s="15">
        <v>6002.71</v>
      </c>
      <c r="C9" s="15">
        <v>2029.78</v>
      </c>
      <c r="D9" s="15">
        <v>3819.94</v>
      </c>
      <c r="E9" s="15">
        <v>1331.03</v>
      </c>
      <c r="F9" s="15">
        <v>4671.57</v>
      </c>
      <c r="G9" s="15">
        <v>2519.35</v>
      </c>
      <c r="H9" s="15">
        <v>2177.63</v>
      </c>
      <c r="I9" s="15">
        <v>4115.7</v>
      </c>
      <c r="J9" s="15">
        <v>3626.07</v>
      </c>
      <c r="K9" s="15">
        <v>3427.19</v>
      </c>
      <c r="L9" s="15">
        <v>1443.27</v>
      </c>
      <c r="M9" s="15">
        <v>3263.95</v>
      </c>
      <c r="N9" s="15">
        <f t="shared" si="13"/>
        <v>38428.189999999995</v>
      </c>
    </row>
    <row r="10" spans="1:15" ht="18.75" customHeight="1" thickBot="1" x14ac:dyDescent="0.3">
      <c r="A10" s="8" t="s">
        <v>26</v>
      </c>
      <c r="B10" s="15">
        <v>3387.67</v>
      </c>
      <c r="C10" s="15">
        <v>2908.98</v>
      </c>
      <c r="D10" s="15">
        <v>1276.42</v>
      </c>
      <c r="E10" s="15">
        <v>1894.82</v>
      </c>
      <c r="F10" s="15">
        <v>2895.88</v>
      </c>
      <c r="G10" s="15">
        <v>2015.24</v>
      </c>
      <c r="H10" s="15">
        <v>1288.3</v>
      </c>
      <c r="I10" s="15">
        <v>1729.82</v>
      </c>
      <c r="J10" s="15">
        <v>296.74</v>
      </c>
      <c r="K10" s="15">
        <v>147.47999999999999</v>
      </c>
      <c r="L10" s="15">
        <v>488.75</v>
      </c>
      <c r="M10" s="15">
        <v>358.15</v>
      </c>
      <c r="N10" s="15">
        <f t="shared" si="13"/>
        <v>18688.250000000004</v>
      </c>
    </row>
    <row r="11" spans="1:15" ht="20.25" customHeight="1" thickBot="1" x14ac:dyDescent="0.3">
      <c r="A11" s="8" t="s">
        <v>42</v>
      </c>
      <c r="B11" s="15">
        <v>10000</v>
      </c>
      <c r="C11" s="15">
        <v>10000</v>
      </c>
      <c r="D11" s="15">
        <v>10000</v>
      </c>
      <c r="E11" s="15">
        <v>10000</v>
      </c>
      <c r="F11" s="15">
        <v>10000</v>
      </c>
      <c r="G11" s="15">
        <v>10000</v>
      </c>
      <c r="H11" s="15">
        <v>10000</v>
      </c>
      <c r="I11" s="15">
        <v>10000</v>
      </c>
      <c r="J11" s="15">
        <v>10000</v>
      </c>
      <c r="K11" s="15">
        <v>10000</v>
      </c>
      <c r="L11" s="15">
        <v>10000</v>
      </c>
      <c r="M11" s="15">
        <v>10000</v>
      </c>
      <c r="N11" s="15">
        <f t="shared" si="13"/>
        <v>120000</v>
      </c>
    </row>
    <row r="12" spans="1:15" ht="20.25" customHeight="1" thickBot="1" x14ac:dyDescent="0.3">
      <c r="A12" s="8" t="s">
        <v>46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2000</v>
      </c>
      <c r="L12" s="15">
        <v>500</v>
      </c>
      <c r="M12" s="15">
        <v>500</v>
      </c>
      <c r="N12" s="15">
        <f t="shared" si="13"/>
        <v>3000</v>
      </c>
    </row>
    <row r="13" spans="1:15" ht="20.25" customHeight="1" thickBot="1" x14ac:dyDescent="0.3">
      <c r="A13" s="6" t="s">
        <v>8</v>
      </c>
      <c r="B13" s="16">
        <f>SUM(B14:B19)</f>
        <v>107403.58</v>
      </c>
      <c r="C13" s="16">
        <f>SUM(C14:C19)</f>
        <v>113550.11999999998</v>
      </c>
      <c r="D13" s="16">
        <f>SUM(D14:D19)</f>
        <v>127565.49999999999</v>
      </c>
      <c r="E13" s="16">
        <f t="shared" ref="E13:M13" si="14">SUM(E14:E19)</f>
        <v>112224.73999999999</v>
      </c>
      <c r="F13" s="16">
        <f>SUM(F14:F19)</f>
        <v>109331.13</v>
      </c>
      <c r="G13" s="16">
        <f t="shared" si="14"/>
        <v>122838.32999999999</v>
      </c>
      <c r="H13" s="16">
        <f t="shared" si="14"/>
        <v>111852.1</v>
      </c>
      <c r="I13" s="16">
        <f t="shared" si="14"/>
        <v>104575.96</v>
      </c>
      <c r="J13" s="16">
        <f t="shared" si="14"/>
        <v>113262.40999999999</v>
      </c>
      <c r="K13" s="16">
        <f t="shared" si="14"/>
        <v>133811.31</v>
      </c>
      <c r="L13" s="16">
        <f t="shared" si="14"/>
        <v>119802.22</v>
      </c>
      <c r="M13" s="16">
        <f t="shared" si="14"/>
        <v>114486.88000000002</v>
      </c>
      <c r="N13" s="16">
        <f>SUM(B13:M13)</f>
        <v>1390704.28</v>
      </c>
    </row>
    <row r="14" spans="1:15" ht="21" customHeight="1" thickBot="1" x14ac:dyDescent="0.3">
      <c r="A14" s="8" t="s">
        <v>28</v>
      </c>
      <c r="B14" s="15">
        <f>90250.7+1358.5</f>
        <v>91609.2</v>
      </c>
      <c r="C14" s="15">
        <f>92504.51+1371.98</f>
        <v>93876.489999999991</v>
      </c>
      <c r="D14" s="15">
        <f>108092.67+1626.15</f>
        <v>109718.81999999999</v>
      </c>
      <c r="E14" s="15">
        <f>95743.51+50+1503.73</f>
        <v>97297.239999999991</v>
      </c>
      <c r="F14" s="15">
        <f>93867.24+1377.52</f>
        <v>95244.760000000009</v>
      </c>
      <c r="G14" s="15">
        <f>102244.22+1468.39</f>
        <v>103712.61</v>
      </c>
      <c r="H14" s="15">
        <f>95783.76+1371.87</f>
        <v>97155.62999999999</v>
      </c>
      <c r="I14" s="15">
        <f>90037.16+1320.93</f>
        <v>91358.09</v>
      </c>
      <c r="J14" s="15">
        <f>95562.37+1407.61</f>
        <v>96969.98</v>
      </c>
      <c r="K14" s="15">
        <f>117737.11+1424.3</f>
        <v>119161.41</v>
      </c>
      <c r="L14" s="15">
        <f>104180.99+1426.64</f>
        <v>105607.63</v>
      </c>
      <c r="M14" s="15">
        <f>99630.02+385.61+73.78+1398.13</f>
        <v>101487.54000000001</v>
      </c>
      <c r="N14" s="15">
        <f>SUM(B14:M14)</f>
        <v>1203199.3999999999</v>
      </c>
    </row>
    <row r="15" spans="1:15" ht="22.5" customHeight="1" thickBot="1" x14ac:dyDescent="0.3">
      <c r="A15" s="8" t="s">
        <v>16</v>
      </c>
      <c r="B15" s="15">
        <v>29.87</v>
      </c>
      <c r="C15" s="15">
        <v>23.97</v>
      </c>
      <c r="D15" s="15">
        <v>197.63</v>
      </c>
      <c r="E15" s="15">
        <v>21.25</v>
      </c>
      <c r="F15" s="15">
        <v>20.350000000000001</v>
      </c>
      <c r="G15" s="15">
        <v>20.45</v>
      </c>
      <c r="H15" s="15">
        <v>22.6</v>
      </c>
      <c r="I15" s="15">
        <v>18.329999999999998</v>
      </c>
      <c r="J15" s="15">
        <v>18.05</v>
      </c>
      <c r="K15" s="15">
        <v>327.72</v>
      </c>
      <c r="L15" s="15">
        <v>31.75</v>
      </c>
      <c r="M15" s="15">
        <v>255.85</v>
      </c>
      <c r="N15" s="15">
        <f t="shared" ref="N15:N20" si="15">SUM(B15:M15)</f>
        <v>987.82</v>
      </c>
    </row>
    <row r="16" spans="1:15" ht="21" customHeight="1" thickBot="1" x14ac:dyDescent="0.3">
      <c r="A16" s="8" t="s">
        <v>17</v>
      </c>
      <c r="B16" s="15">
        <v>783.31</v>
      </c>
      <c r="C16" s="15">
        <v>2094.15</v>
      </c>
      <c r="D16" s="15">
        <v>1991.53</v>
      </c>
      <c r="E16" s="15">
        <v>646.48</v>
      </c>
      <c r="F16" s="15">
        <v>1337.51</v>
      </c>
      <c r="G16" s="15">
        <v>1849.87</v>
      </c>
      <c r="H16" s="15">
        <v>895.17</v>
      </c>
      <c r="I16" s="15">
        <v>1182.19</v>
      </c>
      <c r="J16" s="15">
        <v>1274.9000000000001</v>
      </c>
      <c r="K16" s="15">
        <v>256.36</v>
      </c>
      <c r="L16" s="15">
        <v>102.25</v>
      </c>
      <c r="M16" s="15">
        <v>79.25</v>
      </c>
      <c r="N16" s="15">
        <f t="shared" si="15"/>
        <v>12492.97</v>
      </c>
    </row>
    <row r="17" spans="1:14" ht="21" customHeight="1" thickBot="1" x14ac:dyDescent="0.3">
      <c r="A17" s="9" t="s">
        <v>18</v>
      </c>
      <c r="B17" s="17">
        <v>3838.74</v>
      </c>
      <c r="C17" s="17">
        <v>5471.18</v>
      </c>
      <c r="D17" s="17">
        <v>2607.79</v>
      </c>
      <c r="E17" s="17">
        <v>3578.67</v>
      </c>
      <c r="F17" s="17">
        <v>1366.61</v>
      </c>
      <c r="G17" s="17">
        <v>4545.0200000000004</v>
      </c>
      <c r="H17" s="17">
        <v>2486.35</v>
      </c>
      <c r="I17" s="17">
        <v>1987.55</v>
      </c>
      <c r="J17" s="17">
        <v>3779.63</v>
      </c>
      <c r="K17" s="18">
        <v>4203.21</v>
      </c>
      <c r="L17" s="20">
        <v>3581.06</v>
      </c>
      <c r="M17" s="20">
        <v>1728.52</v>
      </c>
      <c r="N17" s="15">
        <f t="shared" si="15"/>
        <v>39174.329999999994</v>
      </c>
    </row>
    <row r="18" spans="1:14" ht="21" customHeight="1" thickBot="1" x14ac:dyDescent="0.3">
      <c r="A18" s="11" t="s">
        <v>26</v>
      </c>
      <c r="B18" s="18">
        <v>1661.77</v>
      </c>
      <c r="C18" s="19">
        <v>3053.41</v>
      </c>
      <c r="D18" s="18">
        <v>2896.09</v>
      </c>
      <c r="E18" s="20">
        <v>1281.0999999999999</v>
      </c>
      <c r="F18" s="20">
        <v>1761.25</v>
      </c>
      <c r="G18" s="18">
        <v>2819.43</v>
      </c>
      <c r="H18" s="18">
        <v>1924.16</v>
      </c>
      <c r="I18" s="20">
        <v>1173.3499999999999</v>
      </c>
      <c r="J18" s="18">
        <v>1620.65</v>
      </c>
      <c r="K18" s="15">
        <v>614.75</v>
      </c>
      <c r="L18" s="15">
        <v>279.11</v>
      </c>
      <c r="M18" s="15">
        <v>530.91</v>
      </c>
      <c r="N18" s="15">
        <f t="shared" si="15"/>
        <v>19615.980000000003</v>
      </c>
    </row>
    <row r="19" spans="1:14" ht="21" customHeight="1" thickBot="1" x14ac:dyDescent="0.3">
      <c r="A19" s="12" t="s">
        <v>42</v>
      </c>
      <c r="B19" s="18">
        <v>9480.69</v>
      </c>
      <c r="C19" s="18">
        <v>9030.92</v>
      </c>
      <c r="D19" s="18">
        <v>10153.64</v>
      </c>
      <c r="E19" s="18">
        <v>9400</v>
      </c>
      <c r="F19" s="18">
        <v>9600.65</v>
      </c>
      <c r="G19" s="18">
        <v>9890.9500000000007</v>
      </c>
      <c r="H19" s="15">
        <v>9368.19</v>
      </c>
      <c r="I19" s="15">
        <v>8856.4500000000007</v>
      </c>
      <c r="J19" s="24">
        <v>9599.2000000000007</v>
      </c>
      <c r="K19" s="15">
        <v>9247.86</v>
      </c>
      <c r="L19" s="15">
        <v>10200.42</v>
      </c>
      <c r="M19" s="15">
        <v>10404.81</v>
      </c>
      <c r="N19" s="15">
        <f t="shared" si="15"/>
        <v>115233.78</v>
      </c>
    </row>
    <row r="20" spans="1:14" ht="21" customHeight="1" thickBot="1" x14ac:dyDescent="0.3">
      <c r="A20" s="12" t="s">
        <v>46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500</v>
      </c>
      <c r="M20" s="18">
        <v>2000</v>
      </c>
      <c r="N20" s="15">
        <f t="shared" si="15"/>
        <v>2500</v>
      </c>
    </row>
    <row r="21" spans="1:14" ht="21.75" customHeight="1" thickBot="1" x14ac:dyDescent="0.3">
      <c r="A21" s="7" t="s">
        <v>23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19.5" customHeight="1" thickBot="1" x14ac:dyDescent="0.3">
      <c r="A22" s="8" t="s">
        <v>1</v>
      </c>
      <c r="B22" s="15">
        <f>4497.5*0.6</f>
        <v>2698.5</v>
      </c>
      <c r="C22" s="15">
        <f t="shared" ref="C22:M22" si="16">4497.5*0.6</f>
        <v>2698.5</v>
      </c>
      <c r="D22" s="15">
        <f t="shared" si="16"/>
        <v>2698.5</v>
      </c>
      <c r="E22" s="15">
        <f t="shared" si="16"/>
        <v>2698.5</v>
      </c>
      <c r="F22" s="15">
        <f t="shared" si="16"/>
        <v>2698.5</v>
      </c>
      <c r="G22" s="15">
        <f t="shared" si="16"/>
        <v>2698.5</v>
      </c>
      <c r="H22" s="15">
        <f t="shared" si="16"/>
        <v>2698.5</v>
      </c>
      <c r="I22" s="15">
        <f t="shared" si="16"/>
        <v>2698.5</v>
      </c>
      <c r="J22" s="15">
        <f t="shared" si="16"/>
        <v>2698.5</v>
      </c>
      <c r="K22" s="15">
        <f t="shared" si="16"/>
        <v>2698.5</v>
      </c>
      <c r="L22" s="15">
        <f t="shared" si="16"/>
        <v>2698.5</v>
      </c>
      <c r="M22" s="15">
        <f t="shared" si="16"/>
        <v>2698.5</v>
      </c>
      <c r="N22" s="15">
        <f t="shared" ref="N22:N37" si="17">SUM(B22:M22)</f>
        <v>32382</v>
      </c>
    </row>
    <row r="23" spans="1:14" ht="22.5" customHeight="1" thickBot="1" x14ac:dyDescent="0.3">
      <c r="A23" s="8" t="s">
        <v>2</v>
      </c>
      <c r="B23" s="15">
        <f t="shared" ref="B23:M23" si="18">4497.5*0.17</f>
        <v>764.57500000000005</v>
      </c>
      <c r="C23" s="15">
        <f t="shared" si="18"/>
        <v>764.57500000000005</v>
      </c>
      <c r="D23" s="15">
        <f t="shared" si="18"/>
        <v>764.57500000000005</v>
      </c>
      <c r="E23" s="15">
        <f t="shared" si="18"/>
        <v>764.57500000000005</v>
      </c>
      <c r="F23" s="15">
        <f t="shared" si="18"/>
        <v>764.57500000000005</v>
      </c>
      <c r="G23" s="15">
        <f t="shared" si="18"/>
        <v>764.57500000000005</v>
      </c>
      <c r="H23" s="15">
        <f t="shared" si="18"/>
        <v>764.57500000000005</v>
      </c>
      <c r="I23" s="15">
        <f t="shared" si="18"/>
        <v>764.57500000000005</v>
      </c>
      <c r="J23" s="15">
        <f t="shared" si="18"/>
        <v>764.57500000000005</v>
      </c>
      <c r="K23" s="15">
        <f t="shared" si="18"/>
        <v>764.57500000000005</v>
      </c>
      <c r="L23" s="15">
        <f t="shared" si="18"/>
        <v>764.57500000000005</v>
      </c>
      <c r="M23" s="15">
        <f t="shared" si="18"/>
        <v>764.57500000000005</v>
      </c>
      <c r="N23" s="15">
        <f t="shared" si="17"/>
        <v>9174.9</v>
      </c>
    </row>
    <row r="24" spans="1:14" ht="21" customHeight="1" thickBot="1" x14ac:dyDescent="0.3">
      <c r="A24" s="8" t="s">
        <v>3</v>
      </c>
      <c r="B24" s="15">
        <f>123602.53*2.3%</f>
        <v>2842.8581899999999</v>
      </c>
      <c r="C24" s="15">
        <f>118799.9*2.3%</f>
        <v>2732.3977</v>
      </c>
      <c r="D24" s="15">
        <f>117577.07*2.3%</f>
        <v>2704.27261</v>
      </c>
      <c r="E24" s="15">
        <f>116543.39*2.3%</f>
        <v>2680.4979699999999</v>
      </c>
      <c r="F24" s="15">
        <f>121340.15*2.3%</f>
        <v>2790.8234499999999</v>
      </c>
      <c r="G24" s="15">
        <f>117302.46*2.3%</f>
        <v>2697.95658</v>
      </c>
      <c r="H24" s="15">
        <f>116669.94*2.3%</f>
        <v>2683.4086200000002</v>
      </c>
      <c r="I24" s="15">
        <f>119064.33*2.3%</f>
        <v>2738.4795899999999</v>
      </c>
      <c r="J24" s="15">
        <f>115791.18*2.3%</f>
        <v>2663.1971399999998</v>
      </c>
      <c r="K24" s="15">
        <f>115443.04*2.3%</f>
        <v>2655.1899199999998</v>
      </c>
      <c r="L24" s="15">
        <f>113800.39*2.3%</f>
        <v>2617.40897</v>
      </c>
      <c r="M24" s="15">
        <f>115490.47*2.3%</f>
        <v>2656.2808100000002</v>
      </c>
      <c r="N24" s="15">
        <f t="shared" si="17"/>
        <v>32462.771550000001</v>
      </c>
    </row>
    <row r="25" spans="1:14" ht="23.25" customHeight="1" thickBot="1" x14ac:dyDescent="0.3">
      <c r="A25" s="8" t="s">
        <v>4</v>
      </c>
      <c r="B25" s="15">
        <f>107403.58*3%</f>
        <v>3222.1073999999999</v>
      </c>
      <c r="C25" s="15">
        <f>113550.12*3%</f>
        <v>3406.5035999999996</v>
      </c>
      <c r="D25" s="15">
        <f>127565.5*3%</f>
        <v>3826.9649999999997</v>
      </c>
      <c r="E25" s="15">
        <f>112224.74*3%</f>
        <v>3366.7422000000001</v>
      </c>
      <c r="F25" s="15">
        <f>109331.13*3%</f>
        <v>3279.9339</v>
      </c>
      <c r="G25" s="15">
        <f>122838.33*3%</f>
        <v>3685.1498999999999</v>
      </c>
      <c r="H25" s="15">
        <f>111852.1*3%</f>
        <v>3355.5630000000001</v>
      </c>
      <c r="I25" s="15">
        <f>104575.96*3%</f>
        <v>3137.2788</v>
      </c>
      <c r="J25" s="15">
        <f>113262.41*3%</f>
        <v>3397.8723</v>
      </c>
      <c r="K25" s="15">
        <f>133811.31*3%</f>
        <v>4014.3392999999996</v>
      </c>
      <c r="L25" s="15">
        <f>119802.22*3%</f>
        <v>3594.0666000000001</v>
      </c>
      <c r="M25" s="15">
        <f>114486.88*3%</f>
        <v>3434.6064000000001</v>
      </c>
      <c r="N25" s="15">
        <f t="shared" si="17"/>
        <v>41721.128399999987</v>
      </c>
    </row>
    <row r="26" spans="1:14" ht="23.25" customHeight="1" thickBot="1" x14ac:dyDescent="0.3">
      <c r="A26" s="5" t="s">
        <v>9</v>
      </c>
      <c r="B26" s="15">
        <f t="shared" ref="B26:M26" si="19">4497.5*9.7</f>
        <v>43625.75</v>
      </c>
      <c r="C26" s="15">
        <f t="shared" si="19"/>
        <v>43625.75</v>
      </c>
      <c r="D26" s="15">
        <f t="shared" si="19"/>
        <v>43625.75</v>
      </c>
      <c r="E26" s="15">
        <f t="shared" si="19"/>
        <v>43625.75</v>
      </c>
      <c r="F26" s="15">
        <f t="shared" si="19"/>
        <v>43625.75</v>
      </c>
      <c r="G26" s="15">
        <f t="shared" si="19"/>
        <v>43625.75</v>
      </c>
      <c r="H26" s="15">
        <f t="shared" si="19"/>
        <v>43625.75</v>
      </c>
      <c r="I26" s="15">
        <f t="shared" si="19"/>
        <v>43625.75</v>
      </c>
      <c r="J26" s="15">
        <f t="shared" si="19"/>
        <v>43625.75</v>
      </c>
      <c r="K26" s="15">
        <f t="shared" si="19"/>
        <v>43625.75</v>
      </c>
      <c r="L26" s="15">
        <f t="shared" si="19"/>
        <v>43625.75</v>
      </c>
      <c r="M26" s="15">
        <f t="shared" si="19"/>
        <v>43625.75</v>
      </c>
      <c r="N26" s="15">
        <f t="shared" si="17"/>
        <v>523509</v>
      </c>
    </row>
    <row r="27" spans="1:14" ht="26.25" customHeight="1" thickBot="1" x14ac:dyDescent="0.3">
      <c r="A27" s="8" t="s">
        <v>19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f t="shared" si="17"/>
        <v>0</v>
      </c>
    </row>
    <row r="28" spans="1:14" ht="26.25" customHeight="1" thickBot="1" x14ac:dyDescent="0.3">
      <c r="A28" s="8" t="s">
        <v>20</v>
      </c>
      <c r="B28" s="15">
        <v>1992.64</v>
      </c>
      <c r="C28" s="15">
        <v>612.29</v>
      </c>
      <c r="D28" s="15">
        <v>1449.05</v>
      </c>
      <c r="E28" s="15">
        <v>1904.21</v>
      </c>
      <c r="F28" s="15">
        <v>899.11</v>
      </c>
      <c r="G28" s="15">
        <v>1335.49</v>
      </c>
      <c r="H28" s="15">
        <v>1350.35</v>
      </c>
      <c r="I28" s="15">
        <v>0</v>
      </c>
      <c r="J28" s="15">
        <v>0</v>
      </c>
      <c r="K28" s="15">
        <v>0</v>
      </c>
      <c r="L28" s="15">
        <v>0</v>
      </c>
      <c r="M28" s="15">
        <v>187.28</v>
      </c>
      <c r="N28" s="15">
        <f>SUM(B28:M28)</f>
        <v>9730.4200000000019</v>
      </c>
    </row>
    <row r="29" spans="1:14" ht="26.25" customHeight="1" thickBot="1" x14ac:dyDescent="0.3">
      <c r="A29" s="8" t="s">
        <v>21</v>
      </c>
      <c r="B29" s="15">
        <v>2029.8</v>
      </c>
      <c r="C29" s="15">
        <v>3819.9</v>
      </c>
      <c r="D29" s="15">
        <v>1331.1</v>
      </c>
      <c r="E29" s="15">
        <v>4671.6000000000004</v>
      </c>
      <c r="F29" s="15">
        <v>2519.4</v>
      </c>
      <c r="G29" s="15">
        <v>2177.6999999999998</v>
      </c>
      <c r="H29" s="15">
        <v>4115.7</v>
      </c>
      <c r="I29" s="15">
        <v>3626.1</v>
      </c>
      <c r="J29" s="15">
        <v>3427.2</v>
      </c>
      <c r="K29" s="15">
        <v>1443.3</v>
      </c>
      <c r="L29" s="15">
        <v>3264</v>
      </c>
      <c r="M29" s="15">
        <v>3009</v>
      </c>
      <c r="N29" s="15">
        <f>SUM(B29:M29)</f>
        <v>35434.800000000003</v>
      </c>
    </row>
    <row r="30" spans="1:14" ht="22.5" customHeight="1" thickBot="1" x14ac:dyDescent="0.3">
      <c r="A30" s="11" t="s">
        <v>26</v>
      </c>
      <c r="B30" s="18">
        <f>1922.48+986.93</f>
        <v>2909.41</v>
      </c>
      <c r="C30" s="18">
        <f>590.72+685.92</f>
        <v>1276.6399999999999</v>
      </c>
      <c r="D30" s="18">
        <f>1398.02+497.08</f>
        <v>1895.1</v>
      </c>
      <c r="E30" s="18">
        <f>1837.16+1059.14</f>
        <v>2896.3</v>
      </c>
      <c r="F30" s="18">
        <f>867.46+1148.04</f>
        <v>2015.5</v>
      </c>
      <c r="G30" s="18">
        <f>1288.46+0</f>
        <v>1288.46</v>
      </c>
      <c r="H30" s="18">
        <f>1302.8+427.25</f>
        <v>1730.05</v>
      </c>
      <c r="I30" s="18">
        <v>296.83</v>
      </c>
      <c r="J30" s="18">
        <v>147.49</v>
      </c>
      <c r="K30" s="18">
        <v>488.81</v>
      </c>
      <c r="L30" s="18">
        <v>358.21</v>
      </c>
      <c r="M30" s="18">
        <f>180.7+736.61</f>
        <v>917.31</v>
      </c>
      <c r="N30" s="15">
        <f t="shared" si="17"/>
        <v>16220.109999999997</v>
      </c>
    </row>
    <row r="31" spans="1:14" ht="22.5" customHeight="1" thickBot="1" x14ac:dyDescent="0.3">
      <c r="A31" s="8" t="s">
        <v>6</v>
      </c>
      <c r="B31" s="15">
        <f t="shared" ref="B31:M31" si="20">4497.5*3.35</f>
        <v>15066.625</v>
      </c>
      <c r="C31" s="15">
        <f t="shared" si="20"/>
        <v>15066.625</v>
      </c>
      <c r="D31" s="15">
        <f t="shared" si="20"/>
        <v>15066.625</v>
      </c>
      <c r="E31" s="15">
        <f t="shared" si="20"/>
        <v>15066.625</v>
      </c>
      <c r="F31" s="15">
        <f t="shared" si="20"/>
        <v>15066.625</v>
      </c>
      <c r="G31" s="15">
        <f t="shared" si="20"/>
        <v>15066.625</v>
      </c>
      <c r="H31" s="15">
        <f t="shared" si="20"/>
        <v>15066.625</v>
      </c>
      <c r="I31" s="15">
        <f t="shared" si="20"/>
        <v>15066.625</v>
      </c>
      <c r="J31" s="15">
        <f t="shared" si="20"/>
        <v>15066.625</v>
      </c>
      <c r="K31" s="15">
        <f t="shared" si="20"/>
        <v>15066.625</v>
      </c>
      <c r="L31" s="15">
        <f t="shared" si="20"/>
        <v>15066.625</v>
      </c>
      <c r="M31" s="15">
        <f t="shared" si="20"/>
        <v>15066.625</v>
      </c>
      <c r="N31" s="15">
        <f>SUM(B31:M31)</f>
        <v>180799.5</v>
      </c>
    </row>
    <row r="32" spans="1:14" ht="22.5" customHeight="1" thickBot="1" x14ac:dyDescent="0.3">
      <c r="A32" s="8" t="s">
        <v>25</v>
      </c>
      <c r="B32" s="15">
        <v>589.78</v>
      </c>
      <c r="C32" s="15">
        <v>589.78</v>
      </c>
      <c r="D32" s="15">
        <v>589.78</v>
      </c>
      <c r="E32" s="15">
        <v>589.78</v>
      </c>
      <c r="F32" s="15">
        <v>589.78</v>
      </c>
      <c r="G32" s="15">
        <v>589.78</v>
      </c>
      <c r="H32" s="15">
        <v>589.78</v>
      </c>
      <c r="I32" s="15">
        <v>589.78</v>
      </c>
      <c r="J32" s="15">
        <v>589.78</v>
      </c>
      <c r="K32" s="15">
        <v>589.78</v>
      </c>
      <c r="L32" s="15">
        <v>589.78</v>
      </c>
      <c r="M32" s="15">
        <v>589.78</v>
      </c>
      <c r="N32" s="15">
        <f>SUM(B32:M32)</f>
        <v>7077.3599999999979</v>
      </c>
    </row>
    <row r="33" spans="1:14" ht="21.75" customHeight="1" thickBot="1" x14ac:dyDescent="0.3">
      <c r="A33" s="10" t="s">
        <v>42</v>
      </c>
      <c r="B33" s="15">
        <v>8330</v>
      </c>
      <c r="C33" s="15">
        <v>8915</v>
      </c>
      <c r="D33" s="15">
        <v>9990</v>
      </c>
      <c r="E33" s="15">
        <v>9000</v>
      </c>
      <c r="F33" s="15">
        <v>9090</v>
      </c>
      <c r="G33" s="15">
        <v>9455</v>
      </c>
      <c r="H33" s="15">
        <v>8680</v>
      </c>
      <c r="I33" s="15">
        <v>7300</v>
      </c>
      <c r="J33" s="15">
        <v>2870</v>
      </c>
      <c r="K33" s="15">
        <v>4206</v>
      </c>
      <c r="L33" s="15">
        <v>4909</v>
      </c>
      <c r="M33" s="15">
        <v>5324</v>
      </c>
      <c r="N33" s="15">
        <f t="shared" si="17"/>
        <v>88069</v>
      </c>
    </row>
    <row r="34" spans="1:14" ht="21.75" customHeight="1" thickBot="1" x14ac:dyDescent="0.3">
      <c r="A34" s="8" t="s">
        <v>44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5119</v>
      </c>
      <c r="K34" s="15">
        <v>3413</v>
      </c>
      <c r="L34" s="15">
        <v>3413</v>
      </c>
      <c r="M34" s="15">
        <v>3413</v>
      </c>
      <c r="N34" s="15">
        <f t="shared" si="17"/>
        <v>15358</v>
      </c>
    </row>
    <row r="35" spans="1:14" ht="21.75" customHeight="1" thickBot="1" x14ac:dyDescent="0.3">
      <c r="A35" s="8" t="s">
        <v>43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1090</v>
      </c>
      <c r="J35" s="15">
        <v>1194</v>
      </c>
      <c r="K35" s="15">
        <v>1138</v>
      </c>
      <c r="L35" s="15">
        <v>1243</v>
      </c>
      <c r="M35" s="15">
        <v>1306</v>
      </c>
      <c r="N35" s="15">
        <f t="shared" si="17"/>
        <v>5971</v>
      </c>
    </row>
    <row r="36" spans="1:14" ht="21.75" customHeight="1" thickBot="1" x14ac:dyDescent="0.3">
      <c r="A36" s="8" t="s">
        <v>24</v>
      </c>
      <c r="B36" s="25">
        <v>900</v>
      </c>
      <c r="C36" s="25">
        <v>900</v>
      </c>
      <c r="D36" s="25">
        <v>900</v>
      </c>
      <c r="E36" s="25">
        <v>900</v>
      </c>
      <c r="F36" s="25">
        <v>900</v>
      </c>
      <c r="G36" s="25">
        <v>900</v>
      </c>
      <c r="H36" s="25">
        <v>900</v>
      </c>
      <c r="I36" s="25">
        <v>900</v>
      </c>
      <c r="J36" s="25">
        <v>900</v>
      </c>
      <c r="K36" s="25">
        <v>900</v>
      </c>
      <c r="L36" s="25">
        <v>900</v>
      </c>
      <c r="M36" s="25">
        <v>900</v>
      </c>
      <c r="N36" s="15">
        <f t="shared" si="17"/>
        <v>10800</v>
      </c>
    </row>
    <row r="37" spans="1:14" ht="21" customHeight="1" thickBot="1" x14ac:dyDescent="0.3">
      <c r="A37" s="8" t="s">
        <v>14</v>
      </c>
      <c r="B37" s="15">
        <v>0</v>
      </c>
      <c r="C37" s="15">
        <v>19245.599999999999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f t="shared" si="17"/>
        <v>19245.599999999999</v>
      </c>
    </row>
    <row r="38" spans="1:14" ht="21.75" customHeight="1" thickBot="1" x14ac:dyDescent="0.3">
      <c r="A38" s="8" t="s">
        <v>10</v>
      </c>
      <c r="B38" s="15">
        <v>0</v>
      </c>
      <c r="C38" s="15">
        <v>0</v>
      </c>
      <c r="D38" s="15">
        <f>75000+1586.4+1491.4+715.8</f>
        <v>78793.599999999991</v>
      </c>
      <c r="E38" s="15">
        <f>12099.4+4798</f>
        <v>16897.400000000001</v>
      </c>
      <c r="F38" s="15">
        <f>4138.6</f>
        <v>4138.6000000000004</v>
      </c>
      <c r="G38" s="15">
        <v>0</v>
      </c>
      <c r="H38" s="15">
        <f>1560.5</f>
        <v>1560.5</v>
      </c>
      <c r="I38" s="15">
        <v>0</v>
      </c>
      <c r="J38" s="15">
        <f>1692.8+1399</f>
        <v>3091.8</v>
      </c>
      <c r="K38" s="15">
        <f>538.6+26658.27</f>
        <v>27196.87</v>
      </c>
      <c r="L38" s="15">
        <f>3473.79</f>
        <v>3473.79</v>
      </c>
      <c r="M38" s="15">
        <v>0</v>
      </c>
      <c r="N38" s="15">
        <f>SUM(B38:M38)</f>
        <v>135152.56000000003</v>
      </c>
    </row>
    <row r="39" spans="1:14" ht="22.5" customHeight="1" thickBot="1" x14ac:dyDescent="0.3">
      <c r="A39" s="4" t="s">
        <v>22</v>
      </c>
      <c r="B39" s="14">
        <f t="shared" ref="B39:M39" si="21">SUM(B22:B38)</f>
        <v>84972.045590000009</v>
      </c>
      <c r="C39" s="14">
        <f t="shared" si="21"/>
        <v>103653.5613</v>
      </c>
      <c r="D39" s="14">
        <f t="shared" si="21"/>
        <v>163635.31760999997</v>
      </c>
      <c r="E39" s="14">
        <f t="shared" si="21"/>
        <v>105061.98017</v>
      </c>
      <c r="F39" s="14">
        <f t="shared" si="21"/>
        <v>88378.597349999996</v>
      </c>
      <c r="G39" s="14">
        <f t="shared" si="21"/>
        <v>84284.986479999992</v>
      </c>
      <c r="H39" s="14">
        <f t="shared" si="21"/>
        <v>87120.801619999998</v>
      </c>
      <c r="I39" s="14">
        <f t="shared" si="21"/>
        <v>81833.918390000006</v>
      </c>
      <c r="J39" s="14">
        <f t="shared" si="21"/>
        <v>85555.789440000008</v>
      </c>
      <c r="K39" s="14">
        <f t="shared" si="21"/>
        <v>108200.73921999999</v>
      </c>
      <c r="L39" s="14">
        <f t="shared" si="21"/>
        <v>86517.705569999991</v>
      </c>
      <c r="M39" s="14">
        <f t="shared" si="21"/>
        <v>83892.707209999993</v>
      </c>
      <c r="N39" s="14">
        <f>SUM(B39:M39)</f>
        <v>1163108.1499499998</v>
      </c>
    </row>
    <row r="40" spans="1:14" ht="23.25" customHeight="1" thickBot="1" x14ac:dyDescent="0.3">
      <c r="A40" s="5" t="s">
        <v>5</v>
      </c>
      <c r="B40" s="17">
        <f t="shared" ref="B40:M40" si="22">B13-B39</f>
        <v>22431.534409999993</v>
      </c>
      <c r="C40" s="17">
        <f t="shared" si="22"/>
        <v>9896.5586999999796</v>
      </c>
      <c r="D40" s="17">
        <f t="shared" si="22"/>
        <v>-36069.817609999984</v>
      </c>
      <c r="E40" s="17">
        <f t="shared" si="22"/>
        <v>7162.7598299999954</v>
      </c>
      <c r="F40" s="17">
        <f t="shared" si="22"/>
        <v>20952.532650000008</v>
      </c>
      <c r="G40" s="17">
        <f t="shared" si="22"/>
        <v>38553.343519999995</v>
      </c>
      <c r="H40" s="17">
        <f t="shared" si="22"/>
        <v>24731.298380000007</v>
      </c>
      <c r="I40" s="17">
        <f t="shared" si="22"/>
        <v>22742.04161</v>
      </c>
      <c r="J40" s="17">
        <f t="shared" si="22"/>
        <v>27706.620559999981</v>
      </c>
      <c r="K40" s="17">
        <f t="shared" si="22"/>
        <v>25610.570780000009</v>
      </c>
      <c r="L40" s="17">
        <f t="shared" si="22"/>
        <v>33284.51443000001</v>
      </c>
      <c r="M40" s="17">
        <f t="shared" si="22"/>
        <v>30594.172790000026</v>
      </c>
      <c r="N40" s="15">
        <f>SUM(B40:M40)</f>
        <v>227596.13005000004</v>
      </c>
    </row>
    <row r="41" spans="1:14" ht="23.25" customHeight="1" thickBot="1" x14ac:dyDescent="0.3">
      <c r="A41" s="5" t="s">
        <v>7</v>
      </c>
      <c r="B41" s="18">
        <f>B3+B40</f>
        <v>-627169.21559000004</v>
      </c>
      <c r="C41" s="20">
        <f>B41+C40</f>
        <v>-617272.6568900001</v>
      </c>
      <c r="D41" s="20">
        <f>C41+D40</f>
        <v>-653342.47450000013</v>
      </c>
      <c r="E41" s="20">
        <f t="shared" ref="E41:G41" si="23">D41+E40</f>
        <v>-646179.71467000013</v>
      </c>
      <c r="F41" s="20">
        <f t="shared" si="23"/>
        <v>-625227.18202000018</v>
      </c>
      <c r="G41" s="20">
        <f t="shared" si="23"/>
        <v>-586673.83850000019</v>
      </c>
      <c r="H41" s="20">
        <f t="shared" ref="H41" si="24">G41+H40</f>
        <v>-561942.54012000014</v>
      </c>
      <c r="I41" s="20">
        <f t="shared" ref="I41" si="25">H41+I40</f>
        <v>-539200.49851000018</v>
      </c>
      <c r="J41" s="20">
        <f t="shared" ref="J41" si="26">I41+J40</f>
        <v>-511493.87795000023</v>
      </c>
      <c r="K41" s="20">
        <f t="shared" ref="K41" si="27">J41+K40</f>
        <v>-485883.30717000022</v>
      </c>
      <c r="L41" s="20">
        <f t="shared" ref="L41" si="28">K41+L40</f>
        <v>-452598.79274000018</v>
      </c>
      <c r="M41" s="20">
        <f t="shared" ref="M41" si="29">L41+M40</f>
        <v>-422004.61995000014</v>
      </c>
      <c r="N41" s="17">
        <f>N3+N40</f>
        <v>-422004.61994999996</v>
      </c>
    </row>
    <row r="42" spans="1:14" ht="27" customHeight="1" thickBot="1" x14ac:dyDescent="0.3">
      <c r="A42" s="7" t="s">
        <v>11</v>
      </c>
      <c r="B42" s="22">
        <f>B4+B13-B5</f>
        <v>-293267.07999999996</v>
      </c>
      <c r="C42" s="22">
        <f t="shared" ref="C42:N42" si="30">C4+C13-C5</f>
        <v>-298516.86</v>
      </c>
      <c r="D42" s="22">
        <f t="shared" si="30"/>
        <v>-288528.43</v>
      </c>
      <c r="E42" s="22">
        <f t="shared" si="30"/>
        <v>-292847.08</v>
      </c>
      <c r="F42" s="22">
        <f t="shared" si="30"/>
        <v>-304856.09999999998</v>
      </c>
      <c r="G42" s="22">
        <f t="shared" si="30"/>
        <v>-299320.23</v>
      </c>
      <c r="H42" s="22">
        <f t="shared" si="30"/>
        <v>-304138.06999999995</v>
      </c>
      <c r="I42" s="22">
        <f t="shared" si="30"/>
        <v>-318626.43999999994</v>
      </c>
      <c r="J42" s="22">
        <f t="shared" si="30"/>
        <v>-321155.20999999996</v>
      </c>
      <c r="K42" s="22">
        <f t="shared" si="30"/>
        <v>-302786.93999999994</v>
      </c>
      <c r="L42" s="22">
        <f t="shared" si="30"/>
        <v>-296785.10999999993</v>
      </c>
      <c r="M42" s="22">
        <f t="shared" si="30"/>
        <v>-297788.6999999999</v>
      </c>
      <c r="N42" s="23">
        <f t="shared" si="30"/>
        <v>-297788.69999999995</v>
      </c>
    </row>
    <row r="43" spans="1:14" ht="21" customHeight="1" x14ac:dyDescent="0.25"/>
    <row r="44" spans="1:14" ht="17.399999999999999" customHeight="1" x14ac:dyDescent="0.25"/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2024-03-04T05:07:31Z</cp:lastPrinted>
  <dcterms:created xsi:type="dcterms:W3CDTF">2011-06-06T03:25:48Z</dcterms:created>
  <dcterms:modified xsi:type="dcterms:W3CDTF">2024-03-04T05:18:28Z</dcterms:modified>
</cp:coreProperties>
</file>