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M41" i="1" l="1"/>
  <c r="L41" i="1" l="1"/>
  <c r="M30" i="1" l="1"/>
  <c r="M18" i="1"/>
  <c r="M29" i="1"/>
  <c r="M9" i="1"/>
  <c r="L30" i="1" l="1"/>
  <c r="L18" i="1"/>
  <c r="L29" i="1"/>
  <c r="L9" i="1"/>
  <c r="K30" i="1" l="1"/>
  <c r="K18" i="1"/>
  <c r="K29" i="1"/>
  <c r="K9" i="1"/>
  <c r="K36" i="1"/>
  <c r="L36" i="1"/>
  <c r="M36" i="1"/>
  <c r="K31" i="1"/>
  <c r="L31" i="1"/>
  <c r="M31" i="1"/>
  <c r="K28" i="1"/>
  <c r="L28" i="1"/>
  <c r="M28" i="1"/>
  <c r="K27" i="1"/>
  <c r="L27" i="1"/>
  <c r="M27" i="1"/>
  <c r="N38" i="1" l="1"/>
  <c r="N39" i="1"/>
  <c r="J32" i="1" l="1"/>
  <c r="I41" i="1" l="1"/>
  <c r="J41" i="1" l="1"/>
  <c r="H41" i="1" l="1"/>
  <c r="H36" i="1" l="1"/>
  <c r="I36" i="1"/>
  <c r="J36" i="1"/>
  <c r="J30" i="1" l="1"/>
  <c r="J18" i="1"/>
  <c r="J29" i="1"/>
  <c r="J9" i="1"/>
  <c r="I30" i="1" l="1"/>
  <c r="I18" i="1"/>
  <c r="I29" i="1"/>
  <c r="I9" i="1"/>
  <c r="H30" i="1" l="1"/>
  <c r="H18" i="1"/>
  <c r="H29" i="1"/>
  <c r="H9" i="1"/>
  <c r="H31" i="1" l="1"/>
  <c r="I31" i="1"/>
  <c r="J31" i="1"/>
  <c r="H28" i="1"/>
  <c r="I28" i="1"/>
  <c r="J28" i="1"/>
  <c r="H27" i="1"/>
  <c r="I27" i="1"/>
  <c r="J27" i="1"/>
  <c r="G41" i="1" l="1"/>
  <c r="F41" i="1" l="1"/>
  <c r="E41" i="1" l="1"/>
  <c r="G32" i="1" l="1"/>
  <c r="G30" i="1" l="1"/>
  <c r="G18" i="1"/>
  <c r="G29" i="1"/>
  <c r="G9" i="1"/>
  <c r="F30" i="1" l="1"/>
  <c r="F18" i="1"/>
  <c r="F29" i="1"/>
  <c r="F9" i="1"/>
  <c r="E30" i="1" l="1"/>
  <c r="E18" i="1"/>
  <c r="E29" i="1"/>
  <c r="E9" i="1"/>
  <c r="E36" i="1" l="1"/>
  <c r="F36" i="1"/>
  <c r="G36" i="1"/>
  <c r="E31" i="1"/>
  <c r="F31" i="1"/>
  <c r="G31" i="1"/>
  <c r="E28" i="1"/>
  <c r="F28" i="1"/>
  <c r="G28" i="1"/>
  <c r="E27" i="1"/>
  <c r="F27" i="1"/>
  <c r="G27" i="1"/>
  <c r="C41" i="1" l="1"/>
  <c r="D41" i="1" l="1"/>
  <c r="D30" i="1" l="1"/>
  <c r="D18" i="1"/>
  <c r="D29" i="1"/>
  <c r="D9" i="1"/>
  <c r="C30" i="1" l="1"/>
  <c r="C18" i="1"/>
  <c r="C29" i="1"/>
  <c r="C9" i="1"/>
  <c r="B30" i="1" l="1"/>
  <c r="B18" i="1"/>
  <c r="B29" i="1"/>
  <c r="B9" i="1"/>
  <c r="C36" i="1" l="1"/>
  <c r="D36" i="1"/>
  <c r="C31" i="1"/>
  <c r="D31" i="1"/>
  <c r="C28" i="1"/>
  <c r="D28" i="1"/>
  <c r="C27" i="1"/>
  <c r="D27" i="1"/>
  <c r="B36" i="1"/>
  <c r="B31" i="1"/>
  <c r="B28" i="1"/>
  <c r="B27" i="1"/>
  <c r="N16" i="1" l="1"/>
  <c r="N15" i="1"/>
  <c r="N14" i="1"/>
  <c r="N28" i="1" l="1"/>
  <c r="N31" i="1"/>
  <c r="N33" i="1"/>
  <c r="N34" i="1"/>
  <c r="N35" i="1"/>
  <c r="N36" i="1"/>
  <c r="N37" i="1"/>
  <c r="N40" i="1"/>
  <c r="N27" i="1"/>
  <c r="N11" i="1" l="1"/>
  <c r="N13" i="1"/>
  <c r="N12" i="1"/>
  <c r="N25" i="1" l="1"/>
  <c r="N19" i="1" l="1"/>
  <c r="N20" i="1"/>
  <c r="N21" i="1"/>
  <c r="N22" i="1"/>
  <c r="N23" i="1"/>
  <c r="N24" i="1"/>
  <c r="N32" i="1" l="1"/>
  <c r="N41" i="1" l="1"/>
  <c r="D17" i="1" l="1"/>
  <c r="D8" i="1"/>
  <c r="C17" i="1" l="1"/>
  <c r="C8" i="1"/>
  <c r="N30" i="1"/>
  <c r="N29" i="1"/>
  <c r="B8" i="1"/>
  <c r="B17" i="1" l="1"/>
  <c r="B45" i="1" s="1"/>
  <c r="N18" i="1"/>
  <c r="N7" i="1"/>
  <c r="N6" i="1"/>
  <c r="G17" i="1"/>
  <c r="G42" i="1" l="1"/>
  <c r="G43" i="1" s="1"/>
  <c r="C7" i="1"/>
  <c r="C45" i="1" s="1"/>
  <c r="G8" i="1"/>
  <c r="C42" i="1"/>
  <c r="C43" i="1" s="1"/>
  <c r="B42" i="1" l="1"/>
  <c r="B43" i="1" l="1"/>
  <c r="B44" i="1" s="1"/>
  <c r="C6" i="1" s="1"/>
  <c r="C44" i="1" s="1"/>
  <c r="N10" i="1"/>
  <c r="N9" i="1" l="1"/>
  <c r="E17" i="1" l="1"/>
  <c r="L17" i="1"/>
  <c r="M17" i="1"/>
  <c r="K17" i="1" l="1"/>
  <c r="J17" i="1" l="1"/>
  <c r="I17" i="1"/>
  <c r="D7" i="1" l="1"/>
  <c r="D45" i="1" s="1"/>
  <c r="H17" i="1" l="1"/>
  <c r="F17" i="1" l="1"/>
  <c r="N17" i="1" l="1"/>
  <c r="N42" i="1"/>
  <c r="M42" i="1"/>
  <c r="M43" i="1" s="1"/>
  <c r="L8" i="1"/>
  <c r="L42" i="1" l="1"/>
  <c r="L43" i="1" s="1"/>
  <c r="M8" i="1"/>
  <c r="I42" i="1" l="1"/>
  <c r="I43" i="1" s="1"/>
  <c r="J42" i="1"/>
  <c r="J43" i="1" s="1"/>
  <c r="K42" i="1"/>
  <c r="K43" i="1" s="1"/>
  <c r="I8" i="1"/>
  <c r="J8" i="1"/>
  <c r="K8" i="1"/>
  <c r="F8" i="1" l="1"/>
  <c r="H8" i="1"/>
  <c r="E8" i="1"/>
  <c r="N8" i="1" l="1"/>
  <c r="N45" i="1" s="1"/>
  <c r="E7" i="1"/>
  <c r="D42" i="1"/>
  <c r="H42" i="1"/>
  <c r="H43" i="1" s="1"/>
  <c r="E42" i="1"/>
  <c r="E43" i="1" s="1"/>
  <c r="F42" i="1"/>
  <c r="F43" i="1" s="1"/>
  <c r="E45" i="1" l="1"/>
  <c r="F7" i="1" s="1"/>
  <c r="F45" i="1" s="1"/>
  <c r="G7" i="1" s="1"/>
  <c r="G45" i="1" s="1"/>
  <c r="D43" i="1"/>
  <c r="D6" i="1"/>
  <c r="D44" i="1" l="1"/>
  <c r="E6" i="1" s="1"/>
  <c r="N43" i="1"/>
  <c r="N44" i="1" s="1"/>
  <c r="H7" i="1"/>
  <c r="H45" i="1" s="1"/>
  <c r="E44" i="1" l="1"/>
  <c r="F6" i="1" s="1"/>
  <c r="I7" i="1"/>
  <c r="I45" i="1" s="1"/>
  <c r="F44" i="1" l="1"/>
  <c r="G6" i="1" s="1"/>
  <c r="J7" i="1"/>
  <c r="J45" i="1" s="1"/>
  <c r="G44" i="1" l="1"/>
  <c r="H6" i="1" s="1"/>
  <c r="H44" i="1" s="1"/>
  <c r="I6" i="1" s="1"/>
  <c r="K7" i="1"/>
  <c r="K45" i="1" s="1"/>
  <c r="I44" i="1" l="1"/>
  <c r="J6" i="1" s="1"/>
  <c r="J44" i="1" s="1"/>
  <c r="K6" i="1" s="1"/>
  <c r="K44" i="1" s="1"/>
  <c r="L6" i="1" s="1"/>
  <c r="L44" i="1" s="1"/>
  <c r="M6" i="1" s="1"/>
  <c r="M44" i="1" s="1"/>
  <c r="L7" i="1"/>
  <c r="L45" i="1" s="1"/>
  <c r="M7" i="1" l="1"/>
  <c r="M45" i="1" s="1"/>
</calcChain>
</file>

<file path=xl/sharedStrings.xml><?xml version="1.0" encoding="utf-8"?>
<sst xmlns="http://schemas.openxmlformats.org/spreadsheetml/2006/main" count="56" uniqueCount="46">
  <si>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</si>
  <si>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</si>
  <si>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</si>
  <si>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</si>
  <si>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</si>
  <si>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</si>
  <si>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</si>
  <si>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</si>
  <si>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</si>
  <si>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</si>
  <si>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</si>
  <si>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</si>
  <si>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</si>
  <si>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</si>
  <si>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</si>
  <si>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</si>
  <si>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</si>
  <si>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</si>
  <si>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</si>
  <si>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</si>
  <si>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</si>
  <si>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</si>
  <si>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</si>
  <si>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</si>
  <si>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Отведение сточных вод ОИ</t>
  </si>
  <si>
    <t xml:space="preserve">                 ОТЧЕТ по дому Короленко, 51</t>
  </si>
  <si>
    <t>Содержание жилья и текущий ремонт,  ОПУ /нежилые</t>
  </si>
  <si>
    <t>Дополнительный доход (использование общего имущества)</t>
  </si>
  <si>
    <t>Содержание жилья и текущий ремонт,  ОПУ</t>
  </si>
  <si>
    <t>Январь 2023г.</t>
  </si>
  <si>
    <t>Февраль 2023г.</t>
  </si>
  <si>
    <t>Март 2023г.</t>
  </si>
  <si>
    <t>Апрель 2023г.</t>
  </si>
  <si>
    <t>Май 2023г.</t>
  </si>
  <si>
    <t>Июнь 2023г.</t>
  </si>
  <si>
    <t>Июль 2023г.</t>
  </si>
  <si>
    <t>Август 2023г</t>
  </si>
  <si>
    <t>Сентябрь 2023г.</t>
  </si>
  <si>
    <t>Октябрь 2023г.</t>
  </si>
  <si>
    <t>Ноябрь 2023г.</t>
  </si>
  <si>
    <t>Декабрь 2023г</t>
  </si>
  <si>
    <t>Всего:                       за  2023г.</t>
  </si>
  <si>
    <t>Возмещение расходов совета МКД</t>
  </si>
  <si>
    <t>Удержание НДФЛ за 2023 год</t>
  </si>
  <si>
    <t xml:space="preserve">Удержание НДФЛ за 2021 год по решению суда </t>
  </si>
  <si>
    <r>
      <t xml:space="preserve">за период </t>
    </r>
    <r>
      <rPr>
        <b/>
        <u/>
        <sz val="16"/>
        <rFont val="Times New Roman"/>
        <family val="1"/>
        <charset val="204"/>
      </rPr>
      <t>01.01.2023г. по 31.12.2023г.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</si>
</sst>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3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C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8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164" fontId="11" fillId="2" borderId="4" xfId="0" applyNumberFormat="1" applyFont="1" applyFill="1" applyBorder="1" applyAlignment="1">
      <alignment horizontal="left" vertical="top" wrapText="1"/>
    </xf>
    <xf numFmtId="164" fontId="11" fillId="3" borderId="4" xfId="0" applyNumberFormat="1" applyFont="1" applyFill="1" applyBorder="1" applyAlignment="1">
      <alignment horizontal="left" vertical="top" wrapText="1"/>
    </xf>
    <xf numFmtId="164" fontId="10" fillId="0" borderId="4" xfId="0" applyNumberFormat="1" applyFont="1" applyBorder="1" applyAlignment="1">
      <alignment horizontal="left" vertical="top" wrapText="1"/>
    </xf>
    <xf numFmtId="164" fontId="11" fillId="0" borderId="5" xfId="0" applyNumberFormat="1" applyFont="1" applyBorder="1" applyAlignment="1">
      <alignment horizontal="left" vertical="top" wrapText="1"/>
    </xf>
    <xf numFmtId="0" fontId="10" fillId="0" borderId="3" xfId="0" applyFont="1" applyFill="1" applyBorder="1" applyAlignment="1">
      <alignment vertical="top" wrapText="1"/>
    </xf>
    <xf numFmtId="164" fontId="10" fillId="0" borderId="4" xfId="0" applyNumberFormat="1" applyFont="1" applyFill="1" applyBorder="1" applyAlignment="1">
      <alignment horizontal="left" vertical="top" wrapText="1"/>
    </xf>
    <xf numFmtId="0" fontId="0" fillId="0" borderId="0" xfId="0" applyFill="1"/>
    <xf numFmtId="4" fontId="1" fillId="0" borderId="5" xfId="0" applyNumberFormat="1" applyFont="1" applyBorder="1" applyAlignment="1">
      <alignment vertical="top" wrapText="1"/>
    </xf>
    <xf numFmtId="4" fontId="10" fillId="0" borderId="4" xfId="0" applyNumberFormat="1" applyFont="1" applyBorder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4" fontId="1" fillId="3" borderId="6" xfId="0" applyNumberFormat="1" applyFont="1" applyFill="1" applyBorder="1" applyAlignment="1">
      <alignment horizontal="left" vertical="top" wrapText="1"/>
    </xf>
    <xf numFmtId="164" fontId="10" fillId="4" borderId="4" xfId="0" applyNumberFormat="1" applyFont="1" applyFill="1" applyBorder="1" applyAlignment="1">
      <alignment horizontal="left" vertical="top" wrapText="1"/>
    </xf>
    <xf numFmtId="4" fontId="11" fillId="3" borderId="4" xfId="0" applyNumberFormat="1" applyFont="1" applyFill="1" applyBorder="1" applyAlignment="1">
      <alignment horizontal="left" vertical="top" wrapText="1"/>
    </xf>
    <xf numFmtId="4" fontId="0" fillId="0" borderId="0" xfId="0" applyNumberFormat="1"/>
    <xf numFmtId="164" fontId="10" fillId="0" borderId="5" xfId="0" applyNumberFormat="1" applyFont="1" applyBorder="1" applyAlignment="1">
      <alignment horizontal="left" vertical="top" wrapText="1"/>
    </xf>
    <xf numFmtId="0" fontId="12" fillId="0" borderId="0" xfId="0" applyFont="1"/>
    <xf numFmtId="4" fontId="10" fillId="0" borderId="1" xfId="0" applyNumberFormat="1" applyFont="1" applyBorder="1" applyAlignment="1">
      <alignment horizontal="left" vertical="top" wrapText="1"/>
    </xf>
    <xf numFmtId="4" fontId="10" fillId="0" borderId="1" xfId="0" applyNumberFormat="1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left" vertical="top" wrapText="1"/>
    </xf>
    <xf numFmtId="0" fontId="1" fillId="5" borderId="3" xfId="0" applyFont="1" applyFill="1" applyBorder="1" applyAlignment="1">
      <alignment vertical="top" wrapText="1"/>
    </xf>
    <xf numFmtId="4" fontId="1" fillId="5" borderId="4" xfId="0" applyNumberFormat="1" applyFont="1" applyFill="1" applyBorder="1" applyAlignment="1">
      <alignment horizontal="left" vertical="top" wrapText="1"/>
    </xf>
    <xf numFmtId="164" fontId="11" fillId="5" borderId="4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tabSelected="1" topLeftCell="A35" zoomScale="75" workbookViewId="0">
      <selection activeCell="B35" sqref="B1:K1048576"/>
    </sheetView>
  </sheetViews>
  <sheetFormatPr defaultRowHeight="13.2" x14ac:dyDescent="0.25"/>
  <cols>
    <col min="1" max="1" width="58.6640625" customWidth="1"/>
    <col min="2" max="3" width="14.6640625" customWidth="1"/>
    <col min="4" max="4" width="14.88671875" customWidth="1"/>
    <col min="5" max="13" width="14.33203125" customWidth="1"/>
    <col min="14" max="14" width="15.5546875" customWidth="1"/>
    <col min="17" max="17" width="11.5546875" bestFit="1" customWidth="1"/>
  </cols>
  <sheetData>
    <row r="1" spans="1:18" ht="20.25" customHeight="1" x14ac:dyDescent="0.4">
      <c r="A1" s="33" t="s">
        <v>25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8" ht="20.399999999999999" x14ac:dyDescent="0.35">
      <c r="A2" s="35" t="s">
        <v>45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8" ht="7.5" customHeight="1" thickBot="1" x14ac:dyDescent="0.3">
      <c r="A3" s="1"/>
      <c r="B3" s="1"/>
      <c r="R3" s="2"/>
    </row>
    <row r="4" spans="1:18" ht="3" hidden="1" customHeight="1" thickBot="1" x14ac:dyDescent="0.3">
      <c r="A4" s="1"/>
      <c r="B4" s="1"/>
    </row>
    <row r="5" spans="1:18" ht="38.25" customHeight="1" thickBot="1" x14ac:dyDescent="0.3">
      <c r="A5" s="3" t="s">
        <v>0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37</v>
      </c>
      <c r="K5" s="4" t="s">
        <v>38</v>
      </c>
      <c r="L5" s="4" t="s">
        <v>39</v>
      </c>
      <c r="M5" s="4" t="s">
        <v>40</v>
      </c>
      <c r="N5" s="4" t="s">
        <v>41</v>
      </c>
    </row>
    <row r="6" spans="1:18" ht="23.25" customHeight="1" thickBot="1" x14ac:dyDescent="0.3">
      <c r="A6" s="5" t="s">
        <v>14</v>
      </c>
      <c r="B6" s="10">
        <v>-627452.69999999995</v>
      </c>
      <c r="C6" s="10">
        <f>B44</f>
        <v>-579035.67582</v>
      </c>
      <c r="D6" s="10">
        <f>C44</f>
        <v>-568884.91544000001</v>
      </c>
      <c r="E6" s="10">
        <f t="shared" ref="E6:K6" si="0">D44</f>
        <v>-540397.00665999996</v>
      </c>
      <c r="F6" s="10">
        <f t="shared" si="0"/>
        <v>-526496.2903799999</v>
      </c>
      <c r="G6" s="10">
        <f t="shared" si="0"/>
        <v>-520439.63198999991</v>
      </c>
      <c r="H6" s="10">
        <f>G44</f>
        <v>-484276.8038099999</v>
      </c>
      <c r="I6" s="10">
        <f t="shared" si="0"/>
        <v>-515209.47767999989</v>
      </c>
      <c r="J6" s="10">
        <f t="shared" si="0"/>
        <v>-509021.93609999988</v>
      </c>
      <c r="K6" s="10">
        <f t="shared" si="0"/>
        <v>-533254.01466999995</v>
      </c>
      <c r="L6" s="10">
        <f t="shared" ref="L6:M6" si="1">K44</f>
        <v>-473321.32276999991</v>
      </c>
      <c r="M6" s="10">
        <f t="shared" si="1"/>
        <v>-436763.80661999993</v>
      </c>
      <c r="N6" s="10">
        <f>B6</f>
        <v>-627452.69999999995</v>
      </c>
    </row>
    <row r="7" spans="1:18" ht="21" customHeight="1" thickBot="1" x14ac:dyDescent="0.3">
      <c r="A7" s="5" t="s">
        <v>13</v>
      </c>
      <c r="B7" s="10">
        <v>-603815.05000000005</v>
      </c>
      <c r="C7" s="10">
        <f>B45</f>
        <v>-582798.39</v>
      </c>
      <c r="D7" s="10">
        <f>C45</f>
        <v>-593374.27</v>
      </c>
      <c r="E7" s="10">
        <f t="shared" ref="E7:K7" si="2">D45</f>
        <v>-590464.42999999993</v>
      </c>
      <c r="F7" s="10">
        <f t="shared" si="2"/>
        <v>-585319.84</v>
      </c>
      <c r="G7" s="10">
        <f t="shared" si="2"/>
        <v>-606553.27999999991</v>
      </c>
      <c r="H7" s="10">
        <f>G45</f>
        <v>-596290.41999999993</v>
      </c>
      <c r="I7" s="10">
        <f t="shared" si="2"/>
        <v>-641574.46</v>
      </c>
      <c r="J7" s="10">
        <f t="shared" si="2"/>
        <v>-655321.37999999989</v>
      </c>
      <c r="K7" s="10">
        <f t="shared" si="2"/>
        <v>-703878.6399999999</v>
      </c>
      <c r="L7" s="10">
        <f t="shared" ref="L7:M7" si="3">K45</f>
        <v>-673852.55999999994</v>
      </c>
      <c r="M7" s="10">
        <f t="shared" si="3"/>
        <v>-669430.68999999994</v>
      </c>
      <c r="N7" s="10">
        <f>B7</f>
        <v>-603815.05000000005</v>
      </c>
    </row>
    <row r="8" spans="1:18" ht="20.25" customHeight="1" thickBot="1" x14ac:dyDescent="0.3">
      <c r="A8" s="6" t="s">
        <v>12</v>
      </c>
      <c r="B8" s="22">
        <f>SUM(B9:B16)</f>
        <v>123976.34</v>
      </c>
      <c r="C8" s="22">
        <f t="shared" ref="C8:D8" si="4">SUM(C9:C16)</f>
        <v>123976.34</v>
      </c>
      <c r="D8" s="22">
        <f t="shared" si="4"/>
        <v>123976.34</v>
      </c>
      <c r="E8" s="11">
        <f t="shared" ref="E8:M8" si="5">SUM(E9:E15)</f>
        <v>123776.34</v>
      </c>
      <c r="F8" s="11">
        <f t="shared" si="5"/>
        <v>126668.76999999999</v>
      </c>
      <c r="G8" s="11">
        <f t="shared" si="5"/>
        <v>123696.34</v>
      </c>
      <c r="H8" s="11">
        <f t="shared" si="5"/>
        <v>125385.19</v>
      </c>
      <c r="I8" s="11">
        <f t="shared" si="5"/>
        <v>123696.34</v>
      </c>
      <c r="J8" s="11">
        <f t="shared" si="5"/>
        <v>128897.29</v>
      </c>
      <c r="K8" s="11">
        <f t="shared" si="5"/>
        <v>131806.9</v>
      </c>
      <c r="L8" s="11">
        <f t="shared" si="5"/>
        <v>127756.75</v>
      </c>
      <c r="M8" s="11">
        <f t="shared" si="5"/>
        <v>123696.34</v>
      </c>
      <c r="N8" s="11">
        <f t="shared" ref="N8:N13" si="6">SUM(B8:M8)</f>
        <v>1507309.2799999998</v>
      </c>
    </row>
    <row r="9" spans="1:18" ht="24.75" customHeight="1" thickBot="1" x14ac:dyDescent="0.3">
      <c r="A9" s="9" t="s">
        <v>28</v>
      </c>
      <c r="B9" s="18">
        <f t="shared" ref="B9:G9" si="7">114442.44+1494.73</f>
        <v>115937.17</v>
      </c>
      <c r="C9" s="12">
        <f t="shared" si="7"/>
        <v>115937.17</v>
      </c>
      <c r="D9" s="12">
        <f t="shared" si="7"/>
        <v>115937.17</v>
      </c>
      <c r="E9" s="12">
        <f t="shared" si="7"/>
        <v>115937.17</v>
      </c>
      <c r="F9" s="12">
        <f t="shared" si="7"/>
        <v>115937.17</v>
      </c>
      <c r="G9" s="12">
        <f t="shared" si="7"/>
        <v>115937.17</v>
      </c>
      <c r="H9" s="12">
        <f t="shared" ref="H9:M9" si="8">114442.44+1494.73</f>
        <v>115937.17</v>
      </c>
      <c r="I9" s="12">
        <f t="shared" si="8"/>
        <v>115937.17</v>
      </c>
      <c r="J9" s="12">
        <f t="shared" si="8"/>
        <v>115937.17</v>
      </c>
      <c r="K9" s="12">
        <f t="shared" si="8"/>
        <v>115937.17</v>
      </c>
      <c r="L9" s="12">
        <f t="shared" si="8"/>
        <v>115937.17</v>
      </c>
      <c r="M9" s="12">
        <f t="shared" si="8"/>
        <v>115937.17</v>
      </c>
      <c r="N9" s="12">
        <f t="shared" si="6"/>
        <v>1391246.04</v>
      </c>
    </row>
    <row r="10" spans="1:18" ht="24.75" hidden="1" customHeight="1" thickBot="1" x14ac:dyDescent="0.3">
      <c r="A10" s="9" t="s">
        <v>26</v>
      </c>
      <c r="B10" s="18"/>
      <c r="C10" s="18"/>
      <c r="D10" s="18"/>
      <c r="E10" s="12"/>
      <c r="F10" s="12"/>
      <c r="G10" s="12"/>
      <c r="H10" s="12"/>
      <c r="I10" s="12"/>
      <c r="J10" s="12"/>
      <c r="K10" s="12"/>
      <c r="L10" s="12"/>
      <c r="M10" s="12"/>
      <c r="N10" s="12">
        <f t="shared" si="6"/>
        <v>0</v>
      </c>
    </row>
    <row r="11" spans="1:18" ht="24.75" customHeight="1" thickBot="1" x14ac:dyDescent="0.3">
      <c r="A11" s="9" t="s">
        <v>15</v>
      </c>
      <c r="B11" s="18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1688.85</v>
      </c>
      <c r="I11" s="12">
        <v>0</v>
      </c>
      <c r="J11" s="12">
        <v>0</v>
      </c>
      <c r="K11" s="12">
        <v>8110.56</v>
      </c>
      <c r="L11" s="12">
        <v>0</v>
      </c>
      <c r="M11" s="12">
        <v>0</v>
      </c>
      <c r="N11" s="12">
        <f t="shared" si="6"/>
        <v>9799.41</v>
      </c>
    </row>
    <row r="12" spans="1:18" ht="21.75" customHeight="1" thickBot="1" x14ac:dyDescent="0.3">
      <c r="A12" s="9" t="s">
        <v>16</v>
      </c>
      <c r="B12" s="18">
        <v>409.37</v>
      </c>
      <c r="C12" s="12">
        <v>409.37</v>
      </c>
      <c r="D12" s="12">
        <v>409.37</v>
      </c>
      <c r="E12" s="12">
        <v>409.37</v>
      </c>
      <c r="F12" s="12">
        <v>409.37</v>
      </c>
      <c r="G12" s="12">
        <v>409.37</v>
      </c>
      <c r="H12" s="12">
        <v>409.37</v>
      </c>
      <c r="I12" s="12">
        <v>409.37</v>
      </c>
      <c r="J12" s="12">
        <v>409.37</v>
      </c>
      <c r="K12" s="12">
        <v>409.37</v>
      </c>
      <c r="L12" s="12">
        <v>409.37</v>
      </c>
      <c r="M12" s="12">
        <v>409.37</v>
      </c>
      <c r="N12" s="12">
        <f t="shared" si="6"/>
        <v>4912.4399999999996</v>
      </c>
    </row>
    <row r="13" spans="1:18" ht="22.5" customHeight="1" thickBot="1" x14ac:dyDescent="0.3">
      <c r="A13" s="9" t="s">
        <v>17</v>
      </c>
      <c r="B13" s="18">
        <v>0</v>
      </c>
      <c r="C13" s="12">
        <v>0</v>
      </c>
      <c r="D13" s="12">
        <v>0</v>
      </c>
      <c r="E13" s="12">
        <v>0</v>
      </c>
      <c r="F13" s="12">
        <v>2892.43</v>
      </c>
      <c r="G13" s="12">
        <v>0</v>
      </c>
      <c r="H13" s="12">
        <v>0</v>
      </c>
      <c r="I13" s="12">
        <v>0</v>
      </c>
      <c r="J13" s="12">
        <v>5200.95</v>
      </c>
      <c r="K13" s="12">
        <v>0</v>
      </c>
      <c r="L13" s="12">
        <v>4060.41</v>
      </c>
      <c r="M13" s="12">
        <v>0</v>
      </c>
      <c r="N13" s="12">
        <f t="shared" si="6"/>
        <v>12153.789999999999</v>
      </c>
    </row>
    <row r="14" spans="1:18" ht="22.5" customHeight="1" thickBot="1" x14ac:dyDescent="0.3">
      <c r="A14" s="9" t="s">
        <v>24</v>
      </c>
      <c r="B14" s="18">
        <v>789.8</v>
      </c>
      <c r="C14" s="12">
        <v>789.8</v>
      </c>
      <c r="D14" s="12">
        <v>789.8</v>
      </c>
      <c r="E14" s="12">
        <v>789.8</v>
      </c>
      <c r="F14" s="12">
        <v>789.8</v>
      </c>
      <c r="G14" s="12">
        <v>789.8</v>
      </c>
      <c r="H14" s="12">
        <v>789.8</v>
      </c>
      <c r="I14" s="12">
        <v>789.8</v>
      </c>
      <c r="J14" s="12">
        <v>789.8</v>
      </c>
      <c r="K14" s="12">
        <v>789.8</v>
      </c>
      <c r="L14" s="12">
        <v>789.8</v>
      </c>
      <c r="M14" s="12">
        <v>789.8</v>
      </c>
      <c r="N14" s="12">
        <f>SUM(B14:M14)</f>
        <v>9477.6</v>
      </c>
    </row>
    <row r="15" spans="1:18" ht="22.5" customHeight="1" thickBot="1" x14ac:dyDescent="0.3">
      <c r="A15" s="9" t="s">
        <v>42</v>
      </c>
      <c r="B15" s="18">
        <v>6640</v>
      </c>
      <c r="C15" s="12">
        <v>6640</v>
      </c>
      <c r="D15" s="12">
        <v>6640</v>
      </c>
      <c r="E15" s="12">
        <v>6640</v>
      </c>
      <c r="F15" s="12">
        <v>6640</v>
      </c>
      <c r="G15" s="12">
        <v>6560</v>
      </c>
      <c r="H15" s="12">
        <v>6560</v>
      </c>
      <c r="I15" s="12">
        <v>6560</v>
      </c>
      <c r="J15" s="12">
        <v>6560</v>
      </c>
      <c r="K15" s="12">
        <v>6560</v>
      </c>
      <c r="L15" s="12">
        <v>6560</v>
      </c>
      <c r="M15" s="12">
        <v>6560</v>
      </c>
      <c r="N15" s="12">
        <f>SUM(B15:M15)</f>
        <v>79120</v>
      </c>
    </row>
    <row r="16" spans="1:18" ht="22.5" customHeight="1" thickBot="1" x14ac:dyDescent="0.3">
      <c r="A16" s="9" t="s">
        <v>27</v>
      </c>
      <c r="B16" s="18">
        <v>200</v>
      </c>
      <c r="C16" s="18">
        <v>200</v>
      </c>
      <c r="D16" s="18">
        <v>200</v>
      </c>
      <c r="E16" s="18">
        <v>200</v>
      </c>
      <c r="F16" s="18">
        <v>200</v>
      </c>
      <c r="G16" s="18">
        <v>200</v>
      </c>
      <c r="H16" s="18">
        <v>200</v>
      </c>
      <c r="I16" s="18">
        <v>200</v>
      </c>
      <c r="J16" s="18">
        <v>200</v>
      </c>
      <c r="K16" s="12">
        <v>2200</v>
      </c>
      <c r="L16" s="12">
        <v>700</v>
      </c>
      <c r="M16" s="12">
        <v>700</v>
      </c>
      <c r="N16" s="12">
        <f>SUM(B16:M16)</f>
        <v>5400</v>
      </c>
    </row>
    <row r="17" spans="1:15" ht="20.25" customHeight="1" thickBot="1" x14ac:dyDescent="0.3">
      <c r="A17" s="30" t="s">
        <v>8</v>
      </c>
      <c r="B17" s="31">
        <f>SUM(B18:B25)</f>
        <v>144993</v>
      </c>
      <c r="C17" s="31">
        <f t="shared" ref="C17:D17" si="9">SUM(C18:C25)</f>
        <v>113400.46</v>
      </c>
      <c r="D17" s="31">
        <f t="shared" si="9"/>
        <v>126886.18000000002</v>
      </c>
      <c r="E17" s="32">
        <f t="shared" ref="E17:M17" si="10">SUM(E18:E24)</f>
        <v>128920.93</v>
      </c>
      <c r="F17" s="32">
        <f t="shared" si="10"/>
        <v>105435.33</v>
      </c>
      <c r="G17" s="32">
        <f t="shared" si="10"/>
        <v>133959.20000000001</v>
      </c>
      <c r="H17" s="32">
        <f t="shared" si="10"/>
        <v>80101.149999999994</v>
      </c>
      <c r="I17" s="32">
        <f t="shared" si="10"/>
        <v>109949.42000000001</v>
      </c>
      <c r="J17" s="32">
        <f t="shared" si="10"/>
        <v>80340.029999999984</v>
      </c>
      <c r="K17" s="32">
        <f t="shared" si="10"/>
        <v>161832.98000000001</v>
      </c>
      <c r="L17" s="32">
        <f t="shared" si="10"/>
        <v>132178.62</v>
      </c>
      <c r="M17" s="32">
        <f t="shared" si="10"/>
        <v>107688.98</v>
      </c>
      <c r="N17" s="32">
        <f>SUM(B17:M17)</f>
        <v>1425686.2800000003</v>
      </c>
    </row>
    <row r="18" spans="1:15" ht="24" customHeight="1" thickBot="1" x14ac:dyDescent="0.3">
      <c r="A18" s="9" t="s">
        <v>28</v>
      </c>
      <c r="B18" s="12">
        <f>133646.73+2023.96</f>
        <v>135670.69</v>
      </c>
      <c r="C18" s="12">
        <f>101124.88+1603.24</f>
        <v>102728.12000000001</v>
      </c>
      <c r="D18" s="12">
        <f>116448.88+2065.08</f>
        <v>118513.96</v>
      </c>
      <c r="E18" s="12">
        <f>114280.49+2611.66</f>
        <v>116892.15000000001</v>
      </c>
      <c r="F18" s="12">
        <f>96306.4+1548.41</f>
        <v>97854.81</v>
      </c>
      <c r="G18" s="12">
        <f>121759.97+2060.73</f>
        <v>123820.7</v>
      </c>
      <c r="H18" s="12">
        <f>72611.33+893.34</f>
        <v>73504.67</v>
      </c>
      <c r="I18" s="12">
        <f>99119.34+1472.07</f>
        <v>100591.41</v>
      </c>
      <c r="J18" s="12">
        <f>72759.35+901.36</f>
        <v>73660.710000000006</v>
      </c>
      <c r="K18" s="12">
        <f>146220.9+2284.17</f>
        <v>148505.07</v>
      </c>
      <c r="L18" s="12">
        <f>117047.46+1809.83</f>
        <v>118857.29000000001</v>
      </c>
      <c r="M18" s="12">
        <f>95362.45+1390.6</f>
        <v>96753.05</v>
      </c>
      <c r="N18" s="12">
        <f>SUM(B18:M18)</f>
        <v>1307352.6300000001</v>
      </c>
      <c r="O18" s="25"/>
    </row>
    <row r="19" spans="1:15" ht="24" hidden="1" customHeight="1" thickBot="1" x14ac:dyDescent="0.3">
      <c r="A19" s="9" t="s">
        <v>26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>
        <f t="shared" ref="N19:N25" si="11">SUM(B19:M19)</f>
        <v>0</v>
      </c>
    </row>
    <row r="20" spans="1:15" ht="26.25" customHeight="1" thickBot="1" x14ac:dyDescent="0.3">
      <c r="A20" s="9" t="s">
        <v>15</v>
      </c>
      <c r="B20" s="12">
        <v>108.12</v>
      </c>
      <c r="C20" s="12">
        <v>61.36</v>
      </c>
      <c r="D20" s="12">
        <v>123.25</v>
      </c>
      <c r="E20" s="12">
        <v>106.17</v>
      </c>
      <c r="F20" s="12">
        <v>37.619999999999997</v>
      </c>
      <c r="G20" s="12">
        <v>46.17</v>
      </c>
      <c r="H20" s="12">
        <v>0</v>
      </c>
      <c r="I20" s="12">
        <v>1087.52</v>
      </c>
      <c r="J20" s="12">
        <v>66.650000000000006</v>
      </c>
      <c r="K20" s="12">
        <v>187.43</v>
      </c>
      <c r="L20" s="12">
        <v>5685.43</v>
      </c>
      <c r="M20" s="12">
        <v>451.15</v>
      </c>
      <c r="N20" s="12">
        <f t="shared" si="11"/>
        <v>7960.87</v>
      </c>
    </row>
    <row r="21" spans="1:15" ht="26.25" customHeight="1" thickBot="1" x14ac:dyDescent="0.3">
      <c r="A21" s="9" t="s">
        <v>16</v>
      </c>
      <c r="B21" s="12">
        <v>448.01</v>
      </c>
      <c r="C21" s="12">
        <v>382.12</v>
      </c>
      <c r="D21" s="12">
        <v>470.21</v>
      </c>
      <c r="E21" s="12">
        <v>455.8</v>
      </c>
      <c r="F21" s="12">
        <v>358.69</v>
      </c>
      <c r="G21" s="12">
        <v>455.15</v>
      </c>
      <c r="H21" s="12">
        <v>259.72000000000003</v>
      </c>
      <c r="I21" s="12">
        <v>363.41</v>
      </c>
      <c r="J21" s="12">
        <v>260.68</v>
      </c>
      <c r="K21" s="12">
        <v>546.19000000000005</v>
      </c>
      <c r="L21" s="12">
        <v>429.2</v>
      </c>
      <c r="M21" s="12">
        <v>349.87</v>
      </c>
      <c r="N21" s="12">
        <f t="shared" si="11"/>
        <v>4779.0499999999993</v>
      </c>
    </row>
    <row r="22" spans="1:15" ht="24" customHeight="1" thickBot="1" x14ac:dyDescent="0.3">
      <c r="A22" s="9" t="s">
        <v>17</v>
      </c>
      <c r="B22" s="12">
        <v>1399.5</v>
      </c>
      <c r="C22" s="12">
        <v>604.80999999999995</v>
      </c>
      <c r="D22" s="12">
        <v>976.94</v>
      </c>
      <c r="E22" s="12">
        <v>600.54</v>
      </c>
      <c r="F22" s="12">
        <v>362.96</v>
      </c>
      <c r="G22" s="12">
        <v>2582.9699999999998</v>
      </c>
      <c r="H22" s="12">
        <v>53</v>
      </c>
      <c r="I22" s="12">
        <v>357.75</v>
      </c>
      <c r="J22" s="12">
        <v>4.76</v>
      </c>
      <c r="K22" s="12">
        <v>4352.75</v>
      </c>
      <c r="L22" s="12">
        <v>666.7</v>
      </c>
      <c r="M22" s="12">
        <v>2866.19</v>
      </c>
      <c r="N22" s="12">
        <f t="shared" si="11"/>
        <v>14828.87</v>
      </c>
    </row>
    <row r="23" spans="1:15" ht="24" customHeight="1" thickBot="1" x14ac:dyDescent="0.3">
      <c r="A23" s="9" t="s">
        <v>24</v>
      </c>
      <c r="B23" s="12">
        <v>938.08</v>
      </c>
      <c r="C23" s="12">
        <v>744.59</v>
      </c>
      <c r="D23" s="12">
        <v>894.91</v>
      </c>
      <c r="E23" s="12">
        <v>826.34</v>
      </c>
      <c r="F23" s="12">
        <v>706.73</v>
      </c>
      <c r="G23" s="12">
        <v>912.82</v>
      </c>
      <c r="H23" s="12">
        <v>501.09</v>
      </c>
      <c r="I23" s="12">
        <v>713.94</v>
      </c>
      <c r="J23" s="12">
        <v>502.64</v>
      </c>
      <c r="K23" s="12">
        <v>1068.8800000000001</v>
      </c>
      <c r="L23" s="12">
        <v>850.82</v>
      </c>
      <c r="M23" s="12">
        <v>682.1</v>
      </c>
      <c r="N23" s="12">
        <f t="shared" si="11"/>
        <v>9342.94</v>
      </c>
    </row>
    <row r="24" spans="1:15" ht="24" customHeight="1" thickBot="1" x14ac:dyDescent="0.3">
      <c r="A24" s="9" t="s">
        <v>42</v>
      </c>
      <c r="B24" s="12">
        <v>6428.6</v>
      </c>
      <c r="C24" s="12">
        <v>6079.46</v>
      </c>
      <c r="D24" s="12">
        <v>5906.91</v>
      </c>
      <c r="E24" s="29">
        <v>10039.93</v>
      </c>
      <c r="F24" s="29">
        <v>6114.52</v>
      </c>
      <c r="G24" s="29">
        <v>6141.39</v>
      </c>
      <c r="H24" s="12">
        <v>5782.67</v>
      </c>
      <c r="I24" s="12">
        <v>6835.39</v>
      </c>
      <c r="J24" s="12">
        <v>5844.59</v>
      </c>
      <c r="K24" s="12">
        <v>7172.66</v>
      </c>
      <c r="L24" s="12">
        <v>5689.18</v>
      </c>
      <c r="M24" s="12">
        <v>6586.62</v>
      </c>
      <c r="N24" s="12">
        <f t="shared" si="11"/>
        <v>78621.919999999984</v>
      </c>
    </row>
    <row r="25" spans="1:15" ht="24" customHeight="1" thickBot="1" x14ac:dyDescent="0.3">
      <c r="A25" s="9" t="s">
        <v>27</v>
      </c>
      <c r="B25" s="12">
        <v>0</v>
      </c>
      <c r="C25" s="12">
        <v>2800</v>
      </c>
      <c r="D25" s="24">
        <v>0</v>
      </c>
      <c r="E25" s="24">
        <v>0</v>
      </c>
      <c r="F25" s="24">
        <v>0</v>
      </c>
      <c r="G25" s="24">
        <v>0</v>
      </c>
      <c r="H25" s="29">
        <v>1000</v>
      </c>
      <c r="I25" s="29">
        <v>0</v>
      </c>
      <c r="J25" s="29">
        <v>0</v>
      </c>
      <c r="K25" s="12">
        <v>0</v>
      </c>
      <c r="L25" s="12">
        <v>700</v>
      </c>
      <c r="M25" s="12">
        <v>2000</v>
      </c>
      <c r="N25" s="12">
        <f t="shared" si="11"/>
        <v>6500</v>
      </c>
    </row>
    <row r="26" spans="1:15" ht="21.75" customHeight="1" thickBot="1" x14ac:dyDescent="0.3">
      <c r="A26" s="8" t="s">
        <v>22</v>
      </c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2"/>
    </row>
    <row r="27" spans="1:15" ht="19.5" customHeight="1" thickBot="1" x14ac:dyDescent="0.3">
      <c r="A27" s="9" t="s">
        <v>1</v>
      </c>
      <c r="B27" s="12">
        <f>5978*0.6</f>
        <v>3586.7999999999997</v>
      </c>
      <c r="C27" s="12">
        <f t="shared" ref="C27:M27" si="12">5978*0.6</f>
        <v>3586.7999999999997</v>
      </c>
      <c r="D27" s="12">
        <f t="shared" si="12"/>
        <v>3586.7999999999997</v>
      </c>
      <c r="E27" s="12">
        <f t="shared" si="12"/>
        <v>3586.7999999999997</v>
      </c>
      <c r="F27" s="12">
        <f t="shared" si="12"/>
        <v>3586.7999999999997</v>
      </c>
      <c r="G27" s="12">
        <f t="shared" si="12"/>
        <v>3586.7999999999997</v>
      </c>
      <c r="H27" s="12">
        <f t="shared" si="12"/>
        <v>3586.7999999999997</v>
      </c>
      <c r="I27" s="12">
        <f t="shared" si="12"/>
        <v>3586.7999999999997</v>
      </c>
      <c r="J27" s="12">
        <f t="shared" si="12"/>
        <v>3586.7999999999997</v>
      </c>
      <c r="K27" s="12">
        <f t="shared" si="12"/>
        <v>3586.7999999999997</v>
      </c>
      <c r="L27" s="12">
        <f t="shared" si="12"/>
        <v>3586.7999999999997</v>
      </c>
      <c r="M27" s="12">
        <f t="shared" si="12"/>
        <v>3586.7999999999997</v>
      </c>
      <c r="N27" s="12">
        <f>SUM(B27:M27)</f>
        <v>43041.600000000006</v>
      </c>
    </row>
    <row r="28" spans="1:15" ht="22.5" customHeight="1" thickBot="1" x14ac:dyDescent="0.3">
      <c r="A28" s="9" t="s">
        <v>2</v>
      </c>
      <c r="B28" s="12">
        <f t="shared" ref="B28:M28" si="13">5978*0.17</f>
        <v>1016.2600000000001</v>
      </c>
      <c r="C28" s="12">
        <f t="shared" si="13"/>
        <v>1016.2600000000001</v>
      </c>
      <c r="D28" s="12">
        <f t="shared" si="13"/>
        <v>1016.2600000000001</v>
      </c>
      <c r="E28" s="12">
        <f t="shared" si="13"/>
        <v>1016.2600000000001</v>
      </c>
      <c r="F28" s="12">
        <f t="shared" si="13"/>
        <v>1016.2600000000001</v>
      </c>
      <c r="G28" s="12">
        <f t="shared" si="13"/>
        <v>1016.2600000000001</v>
      </c>
      <c r="H28" s="12">
        <f t="shared" si="13"/>
        <v>1016.2600000000001</v>
      </c>
      <c r="I28" s="12">
        <f t="shared" si="13"/>
        <v>1016.2600000000001</v>
      </c>
      <c r="J28" s="12">
        <f t="shared" si="13"/>
        <v>1016.2600000000001</v>
      </c>
      <c r="K28" s="12">
        <f t="shared" si="13"/>
        <v>1016.2600000000001</v>
      </c>
      <c r="L28" s="12">
        <f t="shared" si="13"/>
        <v>1016.2600000000001</v>
      </c>
      <c r="M28" s="12">
        <f t="shared" si="13"/>
        <v>1016.2600000000001</v>
      </c>
      <c r="N28" s="12">
        <f t="shared" ref="N28:N41" si="14">SUM(B28:M28)</f>
        <v>12195.12</v>
      </c>
    </row>
    <row r="29" spans="1:15" ht="21" customHeight="1" thickBot="1" x14ac:dyDescent="0.3">
      <c r="A29" s="9" t="s">
        <v>3</v>
      </c>
      <c r="B29" s="12">
        <f>123776.34*2.3%</f>
        <v>2846.8558199999998</v>
      </c>
      <c r="C29" s="12">
        <f>123776.34*2.3%</f>
        <v>2846.8558199999998</v>
      </c>
      <c r="D29" s="12">
        <f>123776.34*2.3%</f>
        <v>2846.8558199999998</v>
      </c>
      <c r="E29" s="12">
        <f>123776.34*2.3%</f>
        <v>2846.8558199999998</v>
      </c>
      <c r="F29" s="12">
        <f>126668.77*2.3%</f>
        <v>2913.3817100000001</v>
      </c>
      <c r="G29" s="12">
        <f>123696.34*2.3%</f>
        <v>2845.0158200000001</v>
      </c>
      <c r="H29" s="12">
        <f>125385.19*2.3%</f>
        <v>2883.8593700000001</v>
      </c>
      <c r="I29" s="12">
        <f>123696.34*2.3%</f>
        <v>2845.0158200000001</v>
      </c>
      <c r="J29" s="12">
        <f>128897.29*2.3%</f>
        <v>2964.6376699999996</v>
      </c>
      <c r="K29" s="12">
        <f>131806.9*2.3%</f>
        <v>3031.5586999999996</v>
      </c>
      <c r="L29" s="12">
        <f>127756.75*2.3%</f>
        <v>2938.4052499999998</v>
      </c>
      <c r="M29" s="12">
        <f>123696.34*2.3%</f>
        <v>2845.0158200000001</v>
      </c>
      <c r="N29" s="12">
        <f t="shared" si="14"/>
        <v>34654.313439999991</v>
      </c>
    </row>
    <row r="30" spans="1:15" ht="23.25" customHeight="1" thickBot="1" x14ac:dyDescent="0.3">
      <c r="A30" s="9" t="s">
        <v>4</v>
      </c>
      <c r="B30" s="12">
        <f>144993*3%</f>
        <v>4349.79</v>
      </c>
      <c r="C30" s="12">
        <f>110600.46*3%</f>
        <v>3318.0138000000002</v>
      </c>
      <c r="D30" s="12">
        <f>126886.18*3%</f>
        <v>3806.5853999999995</v>
      </c>
      <c r="E30" s="12">
        <f>128920.93*3%</f>
        <v>3867.6278999999995</v>
      </c>
      <c r="F30" s="12">
        <f>105435.33*3%</f>
        <v>3163.0598999999997</v>
      </c>
      <c r="G30" s="12">
        <f>133959.2*3%</f>
        <v>4018.7760000000003</v>
      </c>
      <c r="H30" s="12">
        <f>80101.15*3%</f>
        <v>2403.0344999999998</v>
      </c>
      <c r="I30" s="12">
        <f>109949.42*3%</f>
        <v>3298.4825999999998</v>
      </c>
      <c r="J30" s="12">
        <f>80340.03*3%</f>
        <v>2410.2008999999998</v>
      </c>
      <c r="K30" s="12">
        <f>161832.98*3%</f>
        <v>4854.9894000000004</v>
      </c>
      <c r="L30" s="12">
        <f>132178.62*3%</f>
        <v>3965.3585999999996</v>
      </c>
      <c r="M30" s="12">
        <f>107688.98*3%</f>
        <v>3230.6693999999998</v>
      </c>
      <c r="N30" s="12">
        <f t="shared" si="14"/>
        <v>42686.588399999993</v>
      </c>
    </row>
    <row r="31" spans="1:15" ht="23.25" customHeight="1" thickBot="1" x14ac:dyDescent="0.3">
      <c r="A31" s="7" t="s">
        <v>9</v>
      </c>
      <c r="B31" s="12">
        <f t="shared" ref="B31:M31" si="15">5978*9.7</f>
        <v>57986.6</v>
      </c>
      <c r="C31" s="12">
        <f t="shared" si="15"/>
        <v>57986.6</v>
      </c>
      <c r="D31" s="12">
        <f t="shared" si="15"/>
        <v>57986.6</v>
      </c>
      <c r="E31" s="12">
        <f t="shared" si="15"/>
        <v>57986.6</v>
      </c>
      <c r="F31" s="12">
        <f t="shared" si="15"/>
        <v>57986.6</v>
      </c>
      <c r="G31" s="12">
        <f t="shared" si="15"/>
        <v>57986.6</v>
      </c>
      <c r="H31" s="12">
        <f t="shared" si="15"/>
        <v>57986.6</v>
      </c>
      <c r="I31" s="12">
        <f t="shared" si="15"/>
        <v>57986.6</v>
      </c>
      <c r="J31" s="12">
        <f t="shared" si="15"/>
        <v>57986.6</v>
      </c>
      <c r="K31" s="12">
        <f t="shared" si="15"/>
        <v>57986.6</v>
      </c>
      <c r="L31" s="12">
        <f t="shared" si="15"/>
        <v>57986.6</v>
      </c>
      <c r="M31" s="12">
        <f t="shared" si="15"/>
        <v>57986.6</v>
      </c>
      <c r="N31" s="12">
        <f t="shared" si="14"/>
        <v>695839.19999999984</v>
      </c>
    </row>
    <row r="32" spans="1:15" ht="26.25" customHeight="1" thickBot="1" x14ac:dyDescent="0.3">
      <c r="A32" s="9" t="s">
        <v>18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f>1788.25+0</f>
        <v>1788.25</v>
      </c>
      <c r="H32" s="12">
        <v>0</v>
      </c>
      <c r="I32" s="12">
        <v>0</v>
      </c>
      <c r="J32" s="12">
        <f>8548.97+38.97</f>
        <v>8587.9399999999987</v>
      </c>
      <c r="K32" s="12">
        <v>0</v>
      </c>
      <c r="L32" s="12">
        <v>0</v>
      </c>
      <c r="M32" s="12">
        <v>0</v>
      </c>
      <c r="N32" s="12">
        <f t="shared" si="14"/>
        <v>10376.189999999999</v>
      </c>
    </row>
    <row r="33" spans="1:17" ht="26.25" customHeight="1" thickBot="1" x14ac:dyDescent="0.3">
      <c r="A33" s="9" t="s">
        <v>19</v>
      </c>
      <c r="B33" s="12">
        <v>650.16999999999996</v>
      </c>
      <c r="C33" s="12">
        <v>650.16999999999996</v>
      </c>
      <c r="D33" s="12">
        <v>650.16999999999996</v>
      </c>
      <c r="E33" s="12">
        <v>650.16999999999996</v>
      </c>
      <c r="F33" s="12">
        <v>650.16999999999996</v>
      </c>
      <c r="G33" s="12">
        <v>650.16999999999996</v>
      </c>
      <c r="H33" s="12">
        <v>650.16999999999996</v>
      </c>
      <c r="I33" s="12">
        <v>650.16999999999996</v>
      </c>
      <c r="J33" s="12">
        <v>650.16999999999996</v>
      </c>
      <c r="K33" s="12">
        <v>650.17999999999995</v>
      </c>
      <c r="L33" s="12">
        <v>650.17999999999995</v>
      </c>
      <c r="M33" s="12">
        <v>650.17999999999995</v>
      </c>
      <c r="N33" s="12">
        <f t="shared" si="14"/>
        <v>7802.0700000000006</v>
      </c>
    </row>
    <row r="34" spans="1:17" ht="26.25" customHeight="1" thickBot="1" x14ac:dyDescent="0.3">
      <c r="A34" s="9" t="s">
        <v>20</v>
      </c>
      <c r="B34" s="12">
        <v>0</v>
      </c>
      <c r="C34" s="12">
        <v>0</v>
      </c>
      <c r="D34" s="12">
        <v>0</v>
      </c>
      <c r="E34" s="12">
        <v>3062.7</v>
      </c>
      <c r="F34" s="12">
        <v>0</v>
      </c>
      <c r="G34" s="12">
        <v>0</v>
      </c>
      <c r="H34" s="12">
        <v>0</v>
      </c>
      <c r="I34" s="12">
        <v>5507.05</v>
      </c>
      <c r="J34" s="12">
        <v>0</v>
      </c>
      <c r="K34" s="12">
        <v>4299.3999999999996</v>
      </c>
      <c r="L34" s="12">
        <v>0</v>
      </c>
      <c r="M34" s="12">
        <v>5743.6</v>
      </c>
      <c r="N34" s="12">
        <f t="shared" si="14"/>
        <v>18612.75</v>
      </c>
    </row>
    <row r="35" spans="1:17" s="16" customFormat="1" ht="26.25" customHeight="1" thickBot="1" x14ac:dyDescent="0.3">
      <c r="A35" s="14" t="s">
        <v>24</v>
      </c>
      <c r="B35" s="15">
        <v>836.38</v>
      </c>
      <c r="C35" s="15">
        <v>836.38</v>
      </c>
      <c r="D35" s="15">
        <v>836.38</v>
      </c>
      <c r="E35" s="15">
        <v>836.38</v>
      </c>
      <c r="F35" s="15">
        <v>836.38</v>
      </c>
      <c r="G35" s="15">
        <v>836.38</v>
      </c>
      <c r="H35" s="15">
        <v>836.38</v>
      </c>
      <c r="I35" s="15">
        <v>836.38</v>
      </c>
      <c r="J35" s="15">
        <v>836.38</v>
      </c>
      <c r="K35" s="15">
        <v>836.38</v>
      </c>
      <c r="L35" s="15">
        <v>836.38</v>
      </c>
      <c r="M35" s="15">
        <v>836.38</v>
      </c>
      <c r="N35" s="12">
        <f t="shared" si="14"/>
        <v>10036.559999999998</v>
      </c>
    </row>
    <row r="36" spans="1:17" ht="22.5" customHeight="1" thickBot="1" x14ac:dyDescent="0.3">
      <c r="A36" s="9" t="s">
        <v>6</v>
      </c>
      <c r="B36" s="12">
        <f t="shared" ref="B36:M36" si="16">5978*3.04</f>
        <v>18173.12</v>
      </c>
      <c r="C36" s="12">
        <f t="shared" si="16"/>
        <v>18173.12</v>
      </c>
      <c r="D36" s="12">
        <f t="shared" si="16"/>
        <v>18173.12</v>
      </c>
      <c r="E36" s="12">
        <f t="shared" si="16"/>
        <v>18173.12</v>
      </c>
      <c r="F36" s="12">
        <f t="shared" si="16"/>
        <v>18173.12</v>
      </c>
      <c r="G36" s="12">
        <f t="shared" si="16"/>
        <v>18173.12</v>
      </c>
      <c r="H36" s="12">
        <f t="shared" si="16"/>
        <v>18173.12</v>
      </c>
      <c r="I36" s="12">
        <f t="shared" si="16"/>
        <v>18173.12</v>
      </c>
      <c r="J36" s="12">
        <f t="shared" si="16"/>
        <v>18173.12</v>
      </c>
      <c r="K36" s="12">
        <f t="shared" si="16"/>
        <v>18173.12</v>
      </c>
      <c r="L36" s="12">
        <f t="shared" si="16"/>
        <v>18173.12</v>
      </c>
      <c r="M36" s="12">
        <f t="shared" si="16"/>
        <v>18173.12</v>
      </c>
      <c r="N36" s="12">
        <f t="shared" si="14"/>
        <v>218077.43999999997</v>
      </c>
    </row>
    <row r="37" spans="1:17" ht="21.75" customHeight="1" thickBot="1" x14ac:dyDescent="0.3">
      <c r="A37" s="9" t="s">
        <v>42</v>
      </c>
      <c r="B37" s="12">
        <v>6230</v>
      </c>
      <c r="C37" s="21">
        <v>5840</v>
      </c>
      <c r="D37" s="21">
        <v>5890</v>
      </c>
      <c r="E37" s="21">
        <v>9360</v>
      </c>
      <c r="F37" s="21">
        <v>5640</v>
      </c>
      <c r="G37" s="21">
        <v>5890</v>
      </c>
      <c r="H37" s="21">
        <v>5550</v>
      </c>
      <c r="I37" s="12">
        <v>5830</v>
      </c>
      <c r="J37" s="12">
        <v>3318</v>
      </c>
      <c r="K37" s="12">
        <v>4758</v>
      </c>
      <c r="L37" s="12">
        <v>3799</v>
      </c>
      <c r="M37" s="12">
        <v>4605</v>
      </c>
      <c r="N37" s="12">
        <f t="shared" si="14"/>
        <v>66710</v>
      </c>
    </row>
    <row r="38" spans="1:17" ht="21.75" customHeight="1" thickBot="1" x14ac:dyDescent="0.3">
      <c r="A38" s="9" t="s">
        <v>44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1432</v>
      </c>
      <c r="K38" s="12">
        <v>954</v>
      </c>
      <c r="L38" s="12">
        <v>954</v>
      </c>
      <c r="M38" s="12">
        <v>954</v>
      </c>
      <c r="N38" s="12">
        <f t="shared" si="14"/>
        <v>4294</v>
      </c>
    </row>
    <row r="39" spans="1:17" ht="21.75" customHeight="1" thickBot="1" x14ac:dyDescent="0.3">
      <c r="A39" s="9" t="s">
        <v>43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870</v>
      </c>
      <c r="J39" s="12">
        <v>710</v>
      </c>
      <c r="K39" s="12">
        <v>853</v>
      </c>
      <c r="L39" s="12">
        <v>710</v>
      </c>
      <c r="M39" s="12">
        <v>831</v>
      </c>
      <c r="N39" s="12">
        <f t="shared" si="14"/>
        <v>3974</v>
      </c>
    </row>
    <row r="40" spans="1:17" ht="24.75" customHeight="1" thickBot="1" x14ac:dyDescent="0.3">
      <c r="A40" s="9" t="s">
        <v>23</v>
      </c>
      <c r="B40" s="12">
        <v>900</v>
      </c>
      <c r="C40" s="12">
        <v>900</v>
      </c>
      <c r="D40" s="12">
        <v>900</v>
      </c>
      <c r="E40" s="12">
        <v>900</v>
      </c>
      <c r="F40" s="12">
        <v>900</v>
      </c>
      <c r="G40" s="12">
        <v>900</v>
      </c>
      <c r="H40" s="12">
        <v>900</v>
      </c>
      <c r="I40" s="12">
        <v>900</v>
      </c>
      <c r="J40" s="12">
        <v>900</v>
      </c>
      <c r="K40" s="12">
        <v>900</v>
      </c>
      <c r="L40" s="12">
        <v>900</v>
      </c>
      <c r="M40" s="12">
        <v>900</v>
      </c>
      <c r="N40" s="12">
        <f t="shared" si="14"/>
        <v>10800</v>
      </c>
    </row>
    <row r="41" spans="1:17" ht="24" customHeight="1" thickBot="1" x14ac:dyDescent="0.3">
      <c r="A41" s="9" t="s">
        <v>10</v>
      </c>
      <c r="B41" s="12">
        <v>0</v>
      </c>
      <c r="C41" s="12">
        <f>735.5+7360</f>
        <v>8095.5</v>
      </c>
      <c r="D41" s="12">
        <f>600+1000+105+210+790.5</f>
        <v>2705.5</v>
      </c>
      <c r="E41" s="12">
        <f>11133.7+1600</f>
        <v>12733.7</v>
      </c>
      <c r="F41" s="12">
        <f>4407.9+105</f>
        <v>4512.8999999999996</v>
      </c>
      <c r="G41" s="12">
        <f>105</f>
        <v>105</v>
      </c>
      <c r="H41" s="12">
        <f>747.6+16300</f>
        <v>17047.599999999999</v>
      </c>
      <c r="I41" s="12">
        <f>2177+85</f>
        <v>2262</v>
      </c>
      <c r="J41" s="12">
        <f>2000</f>
        <v>2000</v>
      </c>
      <c r="K41" s="12">
        <v>0</v>
      </c>
      <c r="L41" s="12">
        <f>105</f>
        <v>105</v>
      </c>
      <c r="M41" s="12">
        <f>6507.9</f>
        <v>6507.9</v>
      </c>
      <c r="N41" s="12">
        <f t="shared" si="14"/>
        <v>56075.1</v>
      </c>
    </row>
    <row r="42" spans="1:17" ht="22.5" customHeight="1" thickBot="1" x14ac:dyDescent="0.3">
      <c r="A42" s="6" t="s">
        <v>21</v>
      </c>
      <c r="B42" s="20">
        <f t="shared" ref="B42:N42" si="17">SUM(B27:B41)</f>
        <v>96575.975819999992</v>
      </c>
      <c r="C42" s="20">
        <f t="shared" si="17"/>
        <v>103249.69962</v>
      </c>
      <c r="D42" s="20">
        <f t="shared" si="17"/>
        <v>98398.271219999995</v>
      </c>
      <c r="E42" s="20">
        <f t="shared" si="17"/>
        <v>115020.21371999999</v>
      </c>
      <c r="F42" s="20">
        <f t="shared" si="17"/>
        <v>99378.67160999999</v>
      </c>
      <c r="G42" s="20">
        <f t="shared" si="17"/>
        <v>97796.37182</v>
      </c>
      <c r="H42" s="20">
        <f t="shared" si="17"/>
        <v>111033.82386999999</v>
      </c>
      <c r="I42" s="20">
        <f t="shared" si="17"/>
        <v>103761.87841999999</v>
      </c>
      <c r="J42" s="20">
        <f t="shared" si="17"/>
        <v>104572.10857</v>
      </c>
      <c r="K42" s="20">
        <f t="shared" si="17"/>
        <v>101900.28809999999</v>
      </c>
      <c r="L42" s="20">
        <f t="shared" si="17"/>
        <v>95621.103849999985</v>
      </c>
      <c r="M42" s="20">
        <f t="shared" si="17"/>
        <v>107866.52522</v>
      </c>
      <c r="N42" s="11">
        <f t="shared" si="17"/>
        <v>1235174.9318399997</v>
      </c>
      <c r="Q42" s="23"/>
    </row>
    <row r="43" spans="1:17" ht="23.25" customHeight="1" thickBot="1" x14ac:dyDescent="0.3">
      <c r="A43" s="19" t="s">
        <v>5</v>
      </c>
      <c r="B43" s="26">
        <f t="shared" ref="B43:N43" si="18">B17-B42</f>
        <v>48417.024180000008</v>
      </c>
      <c r="C43" s="26">
        <f t="shared" si="18"/>
        <v>10150.760380000007</v>
      </c>
      <c r="D43" s="26">
        <f t="shared" si="18"/>
        <v>28487.908780000027</v>
      </c>
      <c r="E43" s="26">
        <f t="shared" si="18"/>
        <v>13900.716280000008</v>
      </c>
      <c r="F43" s="26">
        <f t="shared" si="18"/>
        <v>6056.6583900000114</v>
      </c>
      <c r="G43" s="26">
        <f t="shared" si="18"/>
        <v>36162.828180000011</v>
      </c>
      <c r="H43" s="26">
        <f t="shared" si="18"/>
        <v>-30932.673869999999</v>
      </c>
      <c r="I43" s="26">
        <f t="shared" si="18"/>
        <v>6187.5415800000192</v>
      </c>
      <c r="J43" s="26">
        <f t="shared" si="18"/>
        <v>-24232.078570000012</v>
      </c>
      <c r="K43" s="26">
        <f t="shared" si="18"/>
        <v>59932.69190000002</v>
      </c>
      <c r="L43" s="26">
        <f t="shared" si="18"/>
        <v>36557.51615000001</v>
      </c>
      <c r="M43" s="26">
        <f t="shared" si="18"/>
        <v>-177.54521999999997</v>
      </c>
      <c r="N43" s="26">
        <f t="shared" si="18"/>
        <v>190511.34816000052</v>
      </c>
    </row>
    <row r="44" spans="1:17" ht="23.25" customHeight="1" thickBot="1" x14ac:dyDescent="0.3">
      <c r="A44" s="19" t="s">
        <v>7</v>
      </c>
      <c r="B44" s="27">
        <f t="shared" ref="B44:N44" si="19">B6+B43</f>
        <v>-579035.67582</v>
      </c>
      <c r="C44" s="27">
        <f t="shared" si="19"/>
        <v>-568884.91544000001</v>
      </c>
      <c r="D44" s="27">
        <f t="shared" si="19"/>
        <v>-540397.00665999996</v>
      </c>
      <c r="E44" s="27">
        <f t="shared" si="19"/>
        <v>-526496.2903799999</v>
      </c>
      <c r="F44" s="27">
        <f t="shared" si="19"/>
        <v>-520439.63198999991</v>
      </c>
      <c r="G44" s="27">
        <f t="shared" si="19"/>
        <v>-484276.8038099999</v>
      </c>
      <c r="H44" s="27">
        <f t="shared" si="19"/>
        <v>-515209.47767999989</v>
      </c>
      <c r="I44" s="27">
        <f t="shared" si="19"/>
        <v>-509021.93609999988</v>
      </c>
      <c r="J44" s="27">
        <f t="shared" si="19"/>
        <v>-533254.01466999995</v>
      </c>
      <c r="K44" s="27">
        <f t="shared" si="19"/>
        <v>-473321.32276999991</v>
      </c>
      <c r="L44" s="27">
        <f t="shared" si="19"/>
        <v>-436763.80661999993</v>
      </c>
      <c r="M44" s="27">
        <f t="shared" si="19"/>
        <v>-436941.3518399999</v>
      </c>
      <c r="N44" s="27">
        <f t="shared" si="19"/>
        <v>-436941.35183999944</v>
      </c>
    </row>
    <row r="45" spans="1:17" ht="27" customHeight="1" thickBot="1" x14ac:dyDescent="0.3">
      <c r="A45" s="8" t="s">
        <v>11</v>
      </c>
      <c r="B45" s="28">
        <f>B7+B17-B8</f>
        <v>-582798.39</v>
      </c>
      <c r="C45" s="28">
        <f t="shared" ref="C45:N45" si="20">C7+C17-C8</f>
        <v>-593374.27</v>
      </c>
      <c r="D45" s="28">
        <f t="shared" si="20"/>
        <v>-590464.42999999993</v>
      </c>
      <c r="E45" s="28">
        <f t="shared" si="20"/>
        <v>-585319.84</v>
      </c>
      <c r="F45" s="28">
        <f t="shared" si="20"/>
        <v>-606553.27999999991</v>
      </c>
      <c r="G45" s="28">
        <f t="shared" si="20"/>
        <v>-596290.41999999993</v>
      </c>
      <c r="H45" s="28">
        <f t="shared" si="20"/>
        <v>-641574.46</v>
      </c>
      <c r="I45" s="28">
        <f t="shared" si="20"/>
        <v>-655321.37999999989</v>
      </c>
      <c r="J45" s="28">
        <f t="shared" si="20"/>
        <v>-703878.6399999999</v>
      </c>
      <c r="K45" s="28">
        <f t="shared" si="20"/>
        <v>-673852.55999999994</v>
      </c>
      <c r="L45" s="28">
        <f t="shared" si="20"/>
        <v>-669430.68999999994</v>
      </c>
      <c r="M45" s="28">
        <f t="shared" si="20"/>
        <v>-685438.04999999993</v>
      </c>
      <c r="N45" s="28">
        <f t="shared" si="20"/>
        <v>-685438.04999999958</v>
      </c>
    </row>
  </sheetData>
  <mergeCells count="2">
    <mergeCell ref="A1:N1"/>
    <mergeCell ref="A2:P2"/>
  </mergeCells>
  <phoneticPr fontId="5" type="noConversion"/>
  <pageMargins left="0.19685039370078741" right="0.19685039370078741" top="0.19685039370078741" bottom="0.19685039370078741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2024-03-04T04:58:29Z</cp:lastPrinted>
  <dcterms:created xsi:type="dcterms:W3CDTF">2011-06-06T03:25:48Z</dcterms:created>
  <dcterms:modified xsi:type="dcterms:W3CDTF">2024-03-04T05:05:06Z</dcterms:modified>
</cp:coreProperties>
</file>