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3" sheetId="1" r:id="rId1"/>
  </sheets>
  <calcPr calcId="144525" refMode="R1C1"/>
</workbook>
</file>

<file path=xl/calcChain.xml><?xml version="1.0" encoding="utf-8"?>
<calcChain xmlns="http://schemas.openxmlformats.org/spreadsheetml/2006/main">
  <c r="M22" i="1" l="1"/>
  <c r="M20" i="1"/>
  <c r="M21" i="1"/>
  <c r="M13" i="1"/>
  <c r="M11" i="1"/>
  <c r="M12" i="1"/>
  <c r="L22" i="1"/>
  <c r="L20" i="1"/>
  <c r="L21" i="1"/>
  <c r="L13" i="1"/>
  <c r="L11" i="1"/>
  <c r="L12" i="1"/>
  <c r="K22" i="1"/>
  <c r="K19" i="1"/>
  <c r="K21" i="1"/>
  <c r="K13" i="1"/>
  <c r="K11" i="1"/>
  <c r="K12" i="1"/>
  <c r="M42" i="1" l="1"/>
  <c r="N23" i="1" l="1"/>
  <c r="L42" i="1" l="1"/>
  <c r="M40" i="1" l="1"/>
  <c r="L40" i="1" l="1"/>
  <c r="K40" i="1" l="1"/>
  <c r="M35" i="1" l="1"/>
  <c r="L35" i="1" l="1"/>
  <c r="K35" i="1" l="1"/>
  <c r="K42" i="1" l="1"/>
  <c r="M28" i="1" l="1"/>
  <c r="M16" i="1"/>
  <c r="M27" i="1"/>
  <c r="L28" i="1" l="1"/>
  <c r="L16" i="1"/>
  <c r="L27" i="1"/>
  <c r="K28" i="1" l="1"/>
  <c r="K16" i="1"/>
  <c r="K27" i="1"/>
  <c r="K34" i="1"/>
  <c r="L34" i="1"/>
  <c r="M34" i="1"/>
  <c r="K29" i="1"/>
  <c r="L29" i="1"/>
  <c r="M29" i="1"/>
  <c r="K26" i="1"/>
  <c r="L26" i="1"/>
  <c r="M26" i="1"/>
  <c r="K25" i="1"/>
  <c r="L25" i="1"/>
  <c r="M25" i="1"/>
  <c r="N38" i="1" l="1"/>
  <c r="N39" i="1"/>
  <c r="J22" i="1" l="1"/>
  <c r="J19" i="1"/>
  <c r="J21" i="1"/>
  <c r="J13" i="1"/>
  <c r="J10" i="1"/>
  <c r="J12" i="1"/>
  <c r="I22" i="1"/>
  <c r="I20" i="1"/>
  <c r="I19" i="1"/>
  <c r="I21" i="1"/>
  <c r="I13" i="1"/>
  <c r="I10" i="1"/>
  <c r="I12" i="1"/>
  <c r="H22" i="1"/>
  <c r="H20" i="1"/>
  <c r="H19" i="1"/>
  <c r="H21" i="1"/>
  <c r="H13" i="1"/>
  <c r="H11" i="1"/>
  <c r="H10" i="1"/>
  <c r="H12" i="1"/>
  <c r="J34" i="1"/>
  <c r="I34" i="1"/>
  <c r="J42" i="1" l="1"/>
  <c r="I42" i="1" l="1"/>
  <c r="J40" i="1" l="1"/>
  <c r="I40" i="1" l="1"/>
  <c r="H40" i="1" l="1"/>
  <c r="H34" i="1" l="1"/>
  <c r="J28" i="1" l="1"/>
  <c r="J16" i="1"/>
  <c r="J27" i="1"/>
  <c r="I33" i="1" l="1"/>
  <c r="H42" i="1" l="1"/>
  <c r="I28" i="1" l="1"/>
  <c r="I16" i="1"/>
  <c r="I27" i="1"/>
  <c r="H28" i="1" l="1"/>
  <c r="H27" i="1"/>
  <c r="H35" i="1" l="1"/>
  <c r="I35" i="1"/>
  <c r="J35" i="1"/>
  <c r="H29" i="1"/>
  <c r="I29" i="1"/>
  <c r="J29" i="1"/>
  <c r="H26" i="1"/>
  <c r="I26" i="1"/>
  <c r="J26" i="1"/>
  <c r="H25" i="1"/>
  <c r="I25" i="1"/>
  <c r="J25" i="1"/>
  <c r="G42" i="1" l="1"/>
  <c r="G22" i="1" l="1"/>
  <c r="G21" i="1"/>
  <c r="G13" i="1"/>
  <c r="G11" i="1"/>
  <c r="G10" i="1"/>
  <c r="G12" i="1"/>
  <c r="F22" i="1"/>
  <c r="F20" i="1"/>
  <c r="F19" i="1"/>
  <c r="F21" i="1"/>
  <c r="F13" i="1"/>
  <c r="F12" i="1"/>
  <c r="E22" i="1"/>
  <c r="E20" i="1"/>
  <c r="E19" i="1"/>
  <c r="E21" i="1"/>
  <c r="E13" i="1"/>
  <c r="E11" i="1"/>
  <c r="E10" i="1"/>
  <c r="E12" i="1"/>
  <c r="C35" i="1" l="1"/>
  <c r="D35" i="1"/>
  <c r="E35" i="1"/>
  <c r="F35" i="1"/>
  <c r="G35" i="1"/>
  <c r="B35" i="1"/>
  <c r="F42" i="1" l="1"/>
  <c r="G33" i="1" l="1"/>
  <c r="F33" i="1"/>
  <c r="E33" i="1"/>
  <c r="G28" i="1" l="1"/>
  <c r="G16" i="1"/>
  <c r="G27" i="1"/>
  <c r="E42" i="1" l="1"/>
  <c r="F28" i="1" l="1"/>
  <c r="F16" i="1"/>
  <c r="F27" i="1"/>
  <c r="E40" i="1" l="1"/>
  <c r="F40" i="1"/>
  <c r="G40" i="1"/>
  <c r="E28" i="1"/>
  <c r="E16" i="1"/>
  <c r="E27" i="1"/>
  <c r="E34" i="1" l="1"/>
  <c r="F34" i="1"/>
  <c r="G34" i="1"/>
  <c r="E29" i="1"/>
  <c r="F29" i="1"/>
  <c r="G29" i="1"/>
  <c r="E26" i="1"/>
  <c r="F26" i="1"/>
  <c r="G26" i="1"/>
  <c r="E25" i="1"/>
  <c r="F25" i="1"/>
  <c r="G25" i="1"/>
  <c r="D22" i="1" l="1"/>
  <c r="D20" i="1"/>
  <c r="D19" i="1"/>
  <c r="D21" i="1"/>
  <c r="D13" i="1"/>
  <c r="D11" i="1"/>
  <c r="D10" i="1"/>
  <c r="D12" i="1"/>
  <c r="C22" i="1"/>
  <c r="C20" i="1"/>
  <c r="C19" i="1"/>
  <c r="C21" i="1"/>
  <c r="C13" i="1"/>
  <c r="C11" i="1"/>
  <c r="C10" i="1"/>
  <c r="C12" i="1"/>
  <c r="B22" i="1"/>
  <c r="B20" i="1"/>
  <c r="B19" i="1"/>
  <c r="B21" i="1"/>
  <c r="B13" i="1"/>
  <c r="B11" i="1"/>
  <c r="B10" i="1"/>
  <c r="B12" i="1"/>
  <c r="D33" i="1" l="1"/>
  <c r="C42" i="1" l="1"/>
  <c r="D40" i="1" l="1"/>
  <c r="C40" i="1" l="1"/>
  <c r="B40" i="1" l="1"/>
  <c r="B42" i="1" l="1"/>
  <c r="D28" i="1" l="1"/>
  <c r="D27" i="1" l="1"/>
  <c r="C28" i="1" l="1"/>
  <c r="C16" i="1"/>
  <c r="C27" i="1"/>
  <c r="B28" i="1" l="1"/>
  <c r="B27" i="1"/>
  <c r="B7" i="1"/>
  <c r="C34" i="1" l="1"/>
  <c r="D34" i="1"/>
  <c r="C29" i="1"/>
  <c r="D29" i="1"/>
  <c r="C26" i="1"/>
  <c r="D26" i="1"/>
  <c r="C25" i="1"/>
  <c r="D25" i="1"/>
  <c r="B34" i="1"/>
  <c r="B29" i="1"/>
  <c r="B26" i="1"/>
  <c r="B25" i="1"/>
  <c r="D15" i="1" l="1"/>
  <c r="N8" i="1" l="1"/>
  <c r="N9" i="1"/>
  <c r="N10" i="1"/>
  <c r="N11" i="1"/>
  <c r="N12" i="1"/>
  <c r="N13" i="1"/>
  <c r="N14" i="1"/>
  <c r="N7" i="1"/>
  <c r="N26" i="1"/>
  <c r="N27" i="1"/>
  <c r="N28" i="1"/>
  <c r="N29" i="1"/>
  <c r="N30" i="1"/>
  <c r="N31" i="1"/>
  <c r="N32" i="1"/>
  <c r="N33" i="1"/>
  <c r="N34" i="1"/>
  <c r="N35" i="1"/>
  <c r="N36" i="1"/>
  <c r="N37" i="1"/>
  <c r="N40" i="1"/>
  <c r="N41" i="1"/>
  <c r="N42" i="1"/>
  <c r="N25" i="1"/>
  <c r="J15" i="1" l="1"/>
  <c r="I15" i="1"/>
  <c r="J43" i="1" l="1"/>
  <c r="J44" i="1" s="1"/>
  <c r="H15" i="1"/>
  <c r="G15" i="1" l="1"/>
  <c r="F15" i="1"/>
  <c r="E15" i="1"/>
  <c r="G43" i="1" l="1"/>
  <c r="G44" i="1" s="1"/>
  <c r="F43" i="1"/>
  <c r="F44" i="1" s="1"/>
  <c r="E43" i="1"/>
  <c r="E44" i="1" s="1"/>
  <c r="C15" i="1"/>
  <c r="B15" i="1"/>
  <c r="B43" i="1" s="1"/>
  <c r="N5" i="1" l="1"/>
  <c r="N4" i="1"/>
  <c r="K6" i="1" l="1"/>
  <c r="N17" i="1"/>
  <c r="K15" i="1"/>
  <c r="L15" i="1"/>
  <c r="M15" i="1"/>
  <c r="M43" i="1" s="1"/>
  <c r="L6" i="1"/>
  <c r="M6" i="1"/>
  <c r="K43" i="1" l="1"/>
  <c r="N15" i="1"/>
  <c r="M44" i="1"/>
  <c r="L43" i="1"/>
  <c r="L44" i="1" s="1"/>
  <c r="K44" i="1" l="1"/>
  <c r="J6" i="1"/>
  <c r="I43" i="1"/>
  <c r="I44" i="1" s="1"/>
  <c r="I6" i="1"/>
  <c r="H6" i="1"/>
  <c r="H43" i="1"/>
  <c r="H44" i="1" s="1"/>
  <c r="D43" i="1" l="1"/>
  <c r="D44" i="1" s="1"/>
  <c r="D6" i="1"/>
  <c r="C43" i="1"/>
  <c r="C44" i="1" s="1"/>
  <c r="C6" i="1"/>
  <c r="B6" i="1"/>
  <c r="N18" i="1" l="1"/>
  <c r="N22" i="1"/>
  <c r="E6" i="1"/>
  <c r="N20" i="1"/>
  <c r="N16" i="1"/>
  <c r="N21" i="1"/>
  <c r="G6" i="1"/>
  <c r="N19" i="1"/>
  <c r="F6" i="1"/>
  <c r="N6" i="1" l="1"/>
  <c r="N46" i="1" s="1"/>
  <c r="B44" i="1"/>
  <c r="B45" i="1" s="1"/>
  <c r="N43" i="1"/>
  <c r="N44" i="1" s="1"/>
  <c r="N45" i="1" s="1"/>
  <c r="B46" i="1"/>
  <c r="C5" i="1" s="1"/>
  <c r="C46" i="1" l="1"/>
  <c r="D5" i="1" s="1"/>
  <c r="D46" i="1" s="1"/>
  <c r="E5" i="1" s="1"/>
  <c r="E46" i="1" s="1"/>
  <c r="F5" i="1" l="1"/>
  <c r="C4" i="1"/>
  <c r="C45" i="1" s="1"/>
  <c r="F46" i="1" l="1"/>
  <c r="G5" i="1" s="1"/>
  <c r="D4" i="1"/>
  <c r="D45" i="1" s="1"/>
  <c r="G46" i="1" l="1"/>
  <c r="H5" i="1" s="1"/>
  <c r="H46" i="1" s="1"/>
  <c r="I5" i="1" s="1"/>
  <c r="I46" i="1" s="1"/>
  <c r="J5" i="1" s="1"/>
  <c r="E4" i="1"/>
  <c r="E45" i="1" s="1"/>
  <c r="J46" i="1" l="1"/>
  <c r="K5" i="1" s="1"/>
  <c r="K46" i="1" s="1"/>
  <c r="L5" i="1" s="1"/>
  <c r="L46" i="1" s="1"/>
  <c r="M5" i="1" s="1"/>
  <c r="M46" i="1" s="1"/>
  <c r="F4" i="1"/>
  <c r="F45" i="1" s="1"/>
  <c r="G4" i="1" l="1"/>
  <c r="G45" i="1" s="1"/>
  <c r="H4" i="1" l="1"/>
  <c r="H45" i="1" s="1"/>
  <c r="I4" i="1" l="1"/>
  <c r="I45" i="1" l="1"/>
  <c r="J4" i="1" s="1"/>
  <c r="J45" i="1" l="1"/>
  <c r="K4" i="1" s="1"/>
  <c r="K45" i="1" s="1"/>
  <c r="L4" i="1" s="1"/>
  <c r="L45" i="1" s="1"/>
  <c r="M4" i="1" s="1"/>
  <c r="M45" i="1" s="1"/>
</calcChain>
</file>

<file path=xl/sharedStrings.xml><?xml version="1.0" encoding="utf-8"?>
<sst xmlns="http://schemas.openxmlformats.org/spreadsheetml/2006/main" count="58" uniqueCount="50">
  <si>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</si>
  <si>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</si>
  <si>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</si>
  <si>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</si>
  <si>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</si>
  <si>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</si>
  <si>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</si>
  <si>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</si>
  <si>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</si>
  <si>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</si>
  <si>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</si>
  <si>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</si>
  <si>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</si>
  <si>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</si>
  <si>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</si>
  <si>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</si>
  <si>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</si>
  <si>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</si>
  <si>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</si>
  <si>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</si>
  <si>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</si>
  <si>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</si>
  <si>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</si>
  <si>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Тех.обслуживание приборов учета</t>
  </si>
  <si>
    <t>Доход от использования общего имущества</t>
  </si>
  <si>
    <t>Комплексное обслуживание лифтов</t>
  </si>
  <si>
    <t>Периодическое техническое освидетельствование лифтов</t>
  </si>
  <si>
    <t>Услуги охраны, диспетчеризации и мониторинга</t>
  </si>
  <si>
    <t xml:space="preserve">Отведение сточных вод ОИ </t>
  </si>
  <si>
    <t>Содержание жилья и текущий ремонт,  ОПУ/ жилые</t>
  </si>
  <si>
    <t>Содержание жилья и текущий ремонт, ОПУ/ нежилые</t>
  </si>
  <si>
    <t>Содержание жилья и текущий ремонт,  ОПУ</t>
  </si>
  <si>
    <t>Содержание жилья и текущий ремонт,  ОПУ/ нежилые</t>
  </si>
  <si>
    <t>Январь 2023г.</t>
  </si>
  <si>
    <t>Февраль 2023г.</t>
  </si>
  <si>
    <t>Март 2023г.</t>
  </si>
  <si>
    <t>Апрель 2023г.</t>
  </si>
  <si>
    <t>Май 2023г.</t>
  </si>
  <si>
    <t>Июнь 2023г.</t>
  </si>
  <si>
    <t>Июль 2023г</t>
  </si>
  <si>
    <t>Август 2023г.</t>
  </si>
  <si>
    <t>Сентябрь 2023г.</t>
  </si>
  <si>
    <t>Октябрь 2023г.</t>
  </si>
  <si>
    <t>Ноябрь 2023г.</t>
  </si>
  <si>
    <t>Декабрь 2023г</t>
  </si>
  <si>
    <t>Всего:                       за  2023г</t>
  </si>
  <si>
    <t>Возмещение расходов совета МКД</t>
  </si>
  <si>
    <t>Удержание НДФЛ за 2023 год</t>
  </si>
  <si>
    <t>Удержание НДФЛ за 2021 год по решению суда</t>
  </si>
  <si>
    <t xml:space="preserve">                 ОТЧЕТ по дому Коммунарский, 16/1 за период 01.01.2023г. по 31.12.2023г.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</si>
</sst>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0" x14ac:knownFonts="1">
    <font>
      <sz val="10"/>
      <name val="Arial Cyr"/>
      <charset val="204"/>
    </font>
    <font>
      <b/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5" fillId="0" borderId="0" xfId="0" applyFont="1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3" borderId="3" xfId="0" applyFont="1" applyFill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1" fillId="4" borderId="3" xfId="0" applyFont="1" applyFill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164" fontId="9" fillId="2" borderId="4" xfId="0" applyNumberFormat="1" applyFont="1" applyFill="1" applyBorder="1" applyAlignment="1">
      <alignment horizontal="left" vertical="top" wrapText="1"/>
    </xf>
    <xf numFmtId="164" fontId="9" fillId="3" borderId="4" xfId="0" applyNumberFormat="1" applyFont="1" applyFill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164" fontId="9" fillId="4" borderId="4" xfId="0" applyNumberFormat="1" applyFont="1" applyFill="1" applyBorder="1" applyAlignment="1">
      <alignment horizontal="left" vertical="top" wrapText="1"/>
    </xf>
    <xf numFmtId="164" fontId="7" fillId="0" borderId="6" xfId="0" applyNumberFormat="1" applyFont="1" applyBorder="1" applyAlignment="1">
      <alignment horizontal="left" vertical="top" wrapText="1"/>
    </xf>
    <xf numFmtId="164" fontId="7" fillId="0" borderId="1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9" fillId="0" borderId="5" xfId="0" applyNumberFormat="1" applyFont="1" applyBorder="1" applyAlignment="1">
      <alignment horizontal="left" vertical="top" wrapText="1"/>
    </xf>
    <xf numFmtId="164" fontId="9" fillId="0" borderId="4" xfId="0" applyNumberFormat="1" applyFont="1" applyBorder="1" applyAlignment="1">
      <alignment horizontal="left" vertical="top" wrapText="1"/>
    </xf>
    <xf numFmtId="164" fontId="0" fillId="0" borderId="0" xfId="0" applyNumberFormat="1"/>
    <xf numFmtId="0" fontId="7" fillId="0" borderId="3" xfId="0" applyFont="1" applyFill="1" applyBorder="1" applyAlignment="1">
      <alignment vertical="top" wrapText="1"/>
    </xf>
    <xf numFmtId="0" fontId="0" fillId="0" borderId="0" xfId="0" applyFill="1"/>
    <xf numFmtId="164" fontId="7" fillId="0" borderId="4" xfId="0" applyNumberFormat="1" applyFont="1" applyBorder="1" applyAlignment="1">
      <alignment horizontal="left" vertical="top" wrapText="1"/>
    </xf>
    <xf numFmtId="164" fontId="7" fillId="0" borderId="4" xfId="0" applyNumberFormat="1" applyFont="1" applyFill="1" applyBorder="1" applyAlignment="1">
      <alignment horizontal="left" vertical="top" wrapText="1"/>
    </xf>
    <xf numFmtId="4" fontId="0" fillId="0" borderId="0" xfId="0" applyNumberFormat="1"/>
    <xf numFmtId="164" fontId="0" fillId="0" borderId="0" xfId="0" applyNumberFormat="1" applyFill="1"/>
    <xf numFmtId="164" fontId="9" fillId="5" borderId="4" xfId="0" applyNumberFormat="1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vertical="top" wrapText="1"/>
    </xf>
    <xf numFmtId="164" fontId="9" fillId="0" borderId="4" xfId="0" applyNumberFormat="1" applyFont="1" applyFill="1" applyBorder="1" applyAlignment="1">
      <alignment horizontal="left" vertical="top" wrapText="1"/>
    </xf>
    <xf numFmtId="164" fontId="7" fillId="0" borderId="6" xfId="0" applyNumberFormat="1" applyFont="1" applyFill="1" applyBorder="1" applyAlignment="1">
      <alignment horizontal="left" vertical="top" wrapText="1"/>
    </xf>
    <xf numFmtId="164" fontId="7" fillId="0" borderId="2" xfId="0" applyNumberFormat="1" applyFont="1" applyFill="1" applyBorder="1" applyAlignment="1">
      <alignment horizontal="left" vertical="top" wrapText="1"/>
    </xf>
    <xf numFmtId="164" fontId="7" fillId="0" borderId="1" xfId="0" applyNumberFormat="1" applyFont="1" applyFill="1" applyBorder="1" applyAlignment="1">
      <alignment horizontal="left" vertical="top" wrapText="1"/>
    </xf>
    <xf numFmtId="164" fontId="9" fillId="0" borderId="5" xfId="0" applyNumberFormat="1" applyFont="1" applyFill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0" fontId="8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3"/>
  <sheetViews>
    <sheetView tabSelected="1" zoomScale="75" workbookViewId="0">
      <selection activeCell="B2" sqref="B1:K1048576"/>
    </sheetView>
  </sheetViews>
  <sheetFormatPr defaultRowHeight="13.2" x14ac:dyDescent="0.25"/>
  <cols>
    <col min="1" max="1" width="58.6640625" customWidth="1"/>
    <col min="2" max="2" width="14.5546875" customWidth="1"/>
    <col min="3" max="6" width="14.33203125" customWidth="1"/>
    <col min="7" max="7" width="14.33203125" style="22" customWidth="1"/>
    <col min="8" max="13" width="14.33203125" customWidth="1"/>
    <col min="14" max="14" width="15.109375" customWidth="1"/>
    <col min="15" max="15" width="10.44140625" bestFit="1" customWidth="1"/>
    <col min="17" max="17" width="16.6640625" customWidth="1"/>
    <col min="18" max="18" width="15.5546875" bestFit="1" customWidth="1"/>
  </cols>
  <sheetData>
    <row r="1" spans="1:18" ht="20.25" customHeight="1" x14ac:dyDescent="0.35">
      <c r="A1" s="34" t="s">
        <v>49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1:18" ht="7.5" customHeight="1" thickBot="1" x14ac:dyDescent="0.3">
      <c r="A2" s="1"/>
      <c r="R2" s="2"/>
    </row>
    <row r="3" spans="1:18" ht="38.25" customHeight="1" thickBot="1" x14ac:dyDescent="0.3">
      <c r="A3" s="3" t="s">
        <v>0</v>
      </c>
      <c r="B3" s="4" t="s">
        <v>33</v>
      </c>
      <c r="C3" s="4" t="s">
        <v>34</v>
      </c>
      <c r="D3" s="4" t="s">
        <v>35</v>
      </c>
      <c r="E3" s="4" t="s">
        <v>36</v>
      </c>
      <c r="F3" s="4" t="s">
        <v>37</v>
      </c>
      <c r="G3" s="28" t="s">
        <v>38</v>
      </c>
      <c r="H3" s="4" t="s">
        <v>39</v>
      </c>
      <c r="I3" s="4" t="s">
        <v>40</v>
      </c>
      <c r="J3" s="4" t="s">
        <v>41</v>
      </c>
      <c r="K3" s="4" t="s">
        <v>42</v>
      </c>
      <c r="L3" s="4" t="s">
        <v>43</v>
      </c>
      <c r="M3" s="4" t="s">
        <v>44</v>
      </c>
      <c r="N3" s="4" t="s">
        <v>45</v>
      </c>
    </row>
    <row r="4" spans="1:18" ht="23.25" customHeight="1" thickBot="1" x14ac:dyDescent="0.3">
      <c r="A4" s="5" t="s">
        <v>14</v>
      </c>
      <c r="B4" s="11">
        <v>-736827.1</v>
      </c>
      <c r="C4" s="11">
        <f t="shared" ref="C4:D5" si="0">B45</f>
        <v>-703271.27593999996</v>
      </c>
      <c r="D4" s="11">
        <f t="shared" si="0"/>
        <v>-654109.58014999994</v>
      </c>
      <c r="E4" s="11">
        <f t="shared" ref="E4:E5" si="1">D45</f>
        <v>-626472.46727999998</v>
      </c>
      <c r="F4" s="11">
        <f t="shared" ref="F4:F5" si="2">E45</f>
        <v>-602076.57840999996</v>
      </c>
      <c r="G4" s="27">
        <f t="shared" ref="G4:G5" si="3">F45</f>
        <v>-624996.02285999991</v>
      </c>
      <c r="H4" s="11">
        <f t="shared" ref="H4:H5" si="4">G45</f>
        <v>-657204.85230999999</v>
      </c>
      <c r="I4" s="11">
        <f t="shared" ref="I4:I5" si="5">H45</f>
        <v>-635208.99560000002</v>
      </c>
      <c r="J4" s="11">
        <f t="shared" ref="J4:J5" si="6">I45</f>
        <v>-611683.27500999998</v>
      </c>
      <c r="K4" s="11">
        <f t="shared" ref="K4:K5" si="7">J45</f>
        <v>-597937.33199999994</v>
      </c>
      <c r="L4" s="11">
        <f t="shared" ref="L4:L5" si="8">K45</f>
        <v>-573598.09216</v>
      </c>
      <c r="M4" s="11">
        <f t="shared" ref="M4:M5" si="9">L45</f>
        <v>-646594.90460999997</v>
      </c>
      <c r="N4" s="11">
        <f>B4</f>
        <v>-736827.1</v>
      </c>
    </row>
    <row r="5" spans="1:18" ht="21" customHeight="1" thickBot="1" x14ac:dyDescent="0.3">
      <c r="A5" s="5" t="s">
        <v>13</v>
      </c>
      <c r="B5" s="11">
        <v>-772404.72</v>
      </c>
      <c r="C5" s="11">
        <f t="shared" si="0"/>
        <v>-769578.7</v>
      </c>
      <c r="D5" s="11">
        <f t="shared" si="0"/>
        <v>-746476.32</v>
      </c>
      <c r="E5" s="11">
        <f t="shared" si="1"/>
        <v>-751438.69</v>
      </c>
      <c r="F5" s="11">
        <f t="shared" si="2"/>
        <v>-761467.89</v>
      </c>
      <c r="G5" s="27">
        <f t="shared" si="3"/>
        <v>-770185.99</v>
      </c>
      <c r="H5" s="11">
        <f t="shared" si="4"/>
        <v>-747920.5</v>
      </c>
      <c r="I5" s="11">
        <f t="shared" si="5"/>
        <v>-766580.42999999993</v>
      </c>
      <c r="J5" s="11">
        <f t="shared" si="6"/>
        <v>-785020.33000000007</v>
      </c>
      <c r="K5" s="11">
        <f t="shared" si="7"/>
        <v>-793084.77</v>
      </c>
      <c r="L5" s="11">
        <f t="shared" si="8"/>
        <v>-813216.55999999994</v>
      </c>
      <c r="M5" s="11">
        <f t="shared" si="9"/>
        <v>-795292.82</v>
      </c>
      <c r="N5" s="11">
        <f>B5</f>
        <v>-772404.72</v>
      </c>
    </row>
    <row r="6" spans="1:18" ht="20.25" customHeight="1" thickBot="1" x14ac:dyDescent="0.3">
      <c r="A6" s="6" t="s">
        <v>12</v>
      </c>
      <c r="B6" s="12">
        <f>SUM(B7:B14)</f>
        <v>203756.07</v>
      </c>
      <c r="C6" s="12">
        <f>SUM(C7:C14)</f>
        <v>198874.81999999998</v>
      </c>
      <c r="D6" s="12">
        <f>SUM(D7:D14)</f>
        <v>198602.2</v>
      </c>
      <c r="E6" s="12">
        <f t="shared" ref="E6:M6" si="10">SUM(E7:E14)</f>
        <v>194316.37999999998</v>
      </c>
      <c r="F6" s="12">
        <f t="shared" si="10"/>
        <v>187719.37</v>
      </c>
      <c r="G6" s="12">
        <f t="shared" si="10"/>
        <v>193622.46999999997</v>
      </c>
      <c r="H6" s="12">
        <f t="shared" si="10"/>
        <v>200840.25</v>
      </c>
      <c r="I6" s="12">
        <f t="shared" si="10"/>
        <v>214693.57</v>
      </c>
      <c r="J6" s="12">
        <f t="shared" si="10"/>
        <v>214994.05</v>
      </c>
      <c r="K6" s="12">
        <f t="shared" si="10"/>
        <v>227507.44999999998</v>
      </c>
      <c r="L6" s="12">
        <f t="shared" si="10"/>
        <v>216226.15</v>
      </c>
      <c r="M6" s="12">
        <f t="shared" si="10"/>
        <v>257664.74</v>
      </c>
      <c r="N6" s="12">
        <f>SUM(B6:M6)</f>
        <v>2508817.5200000005</v>
      </c>
    </row>
    <row r="7" spans="1:18" ht="21.75" customHeight="1" thickBot="1" x14ac:dyDescent="0.3">
      <c r="A7" s="10" t="s">
        <v>29</v>
      </c>
      <c r="B7" s="23">
        <f>170964.06</f>
        <v>170964.06</v>
      </c>
      <c r="C7" s="23">
        <v>170964.06</v>
      </c>
      <c r="D7" s="23">
        <v>170964.06</v>
      </c>
      <c r="E7" s="23">
        <v>170964.06</v>
      </c>
      <c r="F7" s="23">
        <v>170964.06</v>
      </c>
      <c r="G7" s="24">
        <v>170964.06</v>
      </c>
      <c r="H7" s="23">
        <v>170861.89</v>
      </c>
      <c r="I7" s="23">
        <v>196511.37</v>
      </c>
      <c r="J7" s="23">
        <v>196511.37</v>
      </c>
      <c r="K7" s="13">
        <v>196511.37</v>
      </c>
      <c r="L7" s="13">
        <v>196513.77</v>
      </c>
      <c r="M7" s="13">
        <v>196513.77</v>
      </c>
      <c r="N7" s="13">
        <f>SUM(B7:M7)</f>
        <v>2179207.9000000004</v>
      </c>
    </row>
    <row r="8" spans="1:18" ht="21" customHeight="1" thickBot="1" x14ac:dyDescent="0.3">
      <c r="A8" s="10" t="s">
        <v>30</v>
      </c>
      <c r="B8" s="23">
        <v>1365.68</v>
      </c>
      <c r="C8" s="23">
        <v>1365.68</v>
      </c>
      <c r="D8" s="23">
        <v>1365.68</v>
      </c>
      <c r="E8" s="23">
        <v>1365.68</v>
      </c>
      <c r="F8" s="23">
        <v>1365.68</v>
      </c>
      <c r="G8" s="23">
        <v>1365.68</v>
      </c>
      <c r="H8" s="23">
        <v>1365.68</v>
      </c>
      <c r="I8" s="23">
        <v>1570.69</v>
      </c>
      <c r="J8" s="23">
        <v>1570.69</v>
      </c>
      <c r="K8" s="13">
        <v>1570.69</v>
      </c>
      <c r="L8" s="23">
        <v>1570.69</v>
      </c>
      <c r="M8" s="23">
        <v>1570.69</v>
      </c>
      <c r="N8" s="23">
        <f t="shared" ref="N8:N14" si="11">SUM(B8:M8)</f>
        <v>17413.210000000003</v>
      </c>
    </row>
    <row r="9" spans="1:18" ht="23.25" customHeight="1" thickBot="1" x14ac:dyDescent="0.3">
      <c r="A9" s="10" t="s">
        <v>15</v>
      </c>
      <c r="B9" s="23">
        <v>0</v>
      </c>
      <c r="C9" s="23">
        <v>0</v>
      </c>
      <c r="D9" s="23">
        <v>0</v>
      </c>
      <c r="E9" s="23">
        <v>0</v>
      </c>
      <c r="F9" s="23">
        <v>0</v>
      </c>
      <c r="G9" s="24">
        <v>0</v>
      </c>
      <c r="H9" s="23">
        <v>0</v>
      </c>
      <c r="I9" s="23">
        <v>0</v>
      </c>
      <c r="J9" s="23">
        <v>0</v>
      </c>
      <c r="K9" s="13">
        <v>0</v>
      </c>
      <c r="L9" s="13">
        <v>0</v>
      </c>
      <c r="M9" s="13">
        <v>0</v>
      </c>
      <c r="N9" s="23">
        <f t="shared" si="11"/>
        <v>0</v>
      </c>
    </row>
    <row r="10" spans="1:18" ht="21" customHeight="1" thickBot="1" x14ac:dyDescent="0.3">
      <c r="A10" s="10" t="s">
        <v>16</v>
      </c>
      <c r="B10" s="23">
        <f>2764.66+22.27</f>
        <v>2786.93</v>
      </c>
      <c r="C10" s="23">
        <f>721.62+5.9</f>
        <v>727.52</v>
      </c>
      <c r="D10" s="23">
        <f>2176.04+17.69</f>
        <v>2193.73</v>
      </c>
      <c r="E10" s="23">
        <f>272.12+1.97</f>
        <v>274.09000000000003</v>
      </c>
      <c r="F10" s="23">
        <v>0</v>
      </c>
      <c r="G10" s="24">
        <f>1505.67+11.79</f>
        <v>1517.46</v>
      </c>
      <c r="H10" s="23">
        <f>1117.84+9.17</f>
        <v>1127.01</v>
      </c>
      <c r="I10" s="23">
        <f>524.96+3.93</f>
        <v>528.89</v>
      </c>
      <c r="J10" s="23">
        <f>432.45+3.28</f>
        <v>435.72999999999996</v>
      </c>
      <c r="K10" s="13">
        <v>0</v>
      </c>
      <c r="L10" s="13">
        <v>0</v>
      </c>
      <c r="M10" s="13">
        <v>0</v>
      </c>
      <c r="N10" s="23">
        <f t="shared" si="11"/>
        <v>9591.3599999999988</v>
      </c>
    </row>
    <row r="11" spans="1:18" ht="18.75" customHeight="1" thickBot="1" x14ac:dyDescent="0.3">
      <c r="A11" s="10" t="s">
        <v>17</v>
      </c>
      <c r="B11" s="23">
        <f>13775.79+110.04</f>
        <v>13885.830000000002</v>
      </c>
      <c r="C11" s="23">
        <f>10976.22+87.77</f>
        <v>11063.99</v>
      </c>
      <c r="D11" s="23">
        <f>9251.14+74.02</f>
        <v>9325.16</v>
      </c>
      <c r="E11" s="23">
        <f>6052.21+48.47</f>
        <v>6100.68</v>
      </c>
      <c r="F11" s="23">
        <v>0</v>
      </c>
      <c r="G11" s="24">
        <f>2301.43+18.34</f>
        <v>2319.77</v>
      </c>
      <c r="H11" s="23">
        <f>11252+89.74</f>
        <v>11341.74</v>
      </c>
      <c r="I11" s="23">
        <v>0</v>
      </c>
      <c r="J11" s="23">
        <v>0</v>
      </c>
      <c r="K11" s="13">
        <f>11091.42+88.43</f>
        <v>11179.85</v>
      </c>
      <c r="L11" s="13">
        <f>1630.09+13.1</f>
        <v>1643.1899999999998</v>
      </c>
      <c r="M11" s="13">
        <f>43299.47+345.84</f>
        <v>43645.31</v>
      </c>
      <c r="N11" s="23">
        <f t="shared" si="11"/>
        <v>110505.51999999999</v>
      </c>
    </row>
    <row r="12" spans="1:18" ht="18.75" customHeight="1" thickBot="1" x14ac:dyDescent="0.3">
      <c r="A12" s="10" t="s">
        <v>28</v>
      </c>
      <c r="B12" s="23">
        <f>1230.06+9.83</f>
        <v>1239.8899999999999</v>
      </c>
      <c r="C12" s="23">
        <f>1230.06+9.83</f>
        <v>1239.8899999999999</v>
      </c>
      <c r="D12" s="23">
        <f>1230.06+9.83</f>
        <v>1239.8899999999999</v>
      </c>
      <c r="E12" s="23">
        <f>2081.81+16.38</f>
        <v>2098.19</v>
      </c>
      <c r="F12" s="23">
        <f>1860.88+15.07</f>
        <v>1875.95</v>
      </c>
      <c r="G12" s="24">
        <f>3910.38+31.44</f>
        <v>3941.82</v>
      </c>
      <c r="H12" s="23">
        <f>2609.29+20.96</f>
        <v>2630.25</v>
      </c>
      <c r="I12" s="23">
        <f>2548.63+20.31</f>
        <v>2568.94</v>
      </c>
      <c r="J12" s="23">
        <f>2939+23.58</f>
        <v>2962.58</v>
      </c>
      <c r="K12" s="13">
        <f>2313.52+18.34</f>
        <v>2331.86</v>
      </c>
      <c r="L12" s="13">
        <f>2366.48+18.34</f>
        <v>2384.8200000000002</v>
      </c>
      <c r="M12" s="13">
        <f>1806.88+14.41</f>
        <v>1821.2900000000002</v>
      </c>
      <c r="N12" s="23">
        <f t="shared" si="11"/>
        <v>26335.370000000003</v>
      </c>
    </row>
    <row r="13" spans="1:18" ht="18.75" customHeight="1" thickBot="1" x14ac:dyDescent="0.3">
      <c r="A13" s="10" t="s">
        <v>46</v>
      </c>
      <c r="B13" s="23">
        <f t="shared" ref="B13:G13" si="12">12079.21+84.47</f>
        <v>12163.679999999998</v>
      </c>
      <c r="C13" s="23">
        <f t="shared" si="12"/>
        <v>12163.679999999998</v>
      </c>
      <c r="D13" s="23">
        <f t="shared" si="12"/>
        <v>12163.679999999998</v>
      </c>
      <c r="E13" s="23">
        <f t="shared" si="12"/>
        <v>12163.679999999998</v>
      </c>
      <c r="F13" s="23">
        <f t="shared" si="12"/>
        <v>12163.679999999998</v>
      </c>
      <c r="G13" s="24">
        <f t="shared" si="12"/>
        <v>12163.679999999998</v>
      </c>
      <c r="H13" s="23">
        <f>12079.21+84.47</f>
        <v>12163.679999999998</v>
      </c>
      <c r="I13" s="23">
        <f>12079.21+84.47</f>
        <v>12163.679999999998</v>
      </c>
      <c r="J13" s="23">
        <f>12079.21+84.47</f>
        <v>12163.679999999998</v>
      </c>
      <c r="K13" s="13">
        <f>12079.21+84.47</f>
        <v>12163.679999999998</v>
      </c>
      <c r="L13" s="13">
        <f>12079.21+84.47</f>
        <v>12163.679999999998</v>
      </c>
      <c r="M13" s="13">
        <f>12079.21+84.47</f>
        <v>12163.679999999998</v>
      </c>
      <c r="N13" s="23">
        <f t="shared" si="11"/>
        <v>145964.15999999995</v>
      </c>
    </row>
    <row r="14" spans="1:18" ht="22.5" customHeight="1" thickBot="1" x14ac:dyDescent="0.3">
      <c r="A14" s="10" t="s">
        <v>24</v>
      </c>
      <c r="B14" s="13">
        <v>1350</v>
      </c>
      <c r="C14" s="23">
        <v>1350</v>
      </c>
      <c r="D14" s="23">
        <v>1350</v>
      </c>
      <c r="E14" s="23">
        <v>1350</v>
      </c>
      <c r="F14" s="23">
        <v>1350</v>
      </c>
      <c r="G14" s="23">
        <v>1350</v>
      </c>
      <c r="H14" s="23">
        <v>1350</v>
      </c>
      <c r="I14" s="23">
        <v>1350</v>
      </c>
      <c r="J14" s="23">
        <v>1350</v>
      </c>
      <c r="K14" s="13">
        <v>3750</v>
      </c>
      <c r="L14" s="13">
        <v>1950</v>
      </c>
      <c r="M14" s="13">
        <v>1950</v>
      </c>
      <c r="N14" s="23">
        <f t="shared" si="11"/>
        <v>19800</v>
      </c>
    </row>
    <row r="15" spans="1:18" ht="20.25" customHeight="1" thickBot="1" x14ac:dyDescent="0.3">
      <c r="A15" s="8" t="s">
        <v>8</v>
      </c>
      <c r="B15" s="14">
        <f t="shared" ref="B15:J15" si="13">SUM(B16:B23)</f>
        <v>206582.09000000003</v>
      </c>
      <c r="C15" s="14">
        <f t="shared" si="13"/>
        <v>221977.2</v>
      </c>
      <c r="D15" s="14">
        <f t="shared" si="13"/>
        <v>193639.83</v>
      </c>
      <c r="E15" s="14">
        <f t="shared" si="13"/>
        <v>184287.18</v>
      </c>
      <c r="F15" s="14">
        <f t="shared" si="13"/>
        <v>179001.27000000002</v>
      </c>
      <c r="G15" s="14">
        <f t="shared" si="13"/>
        <v>215887.95999999996</v>
      </c>
      <c r="H15" s="14">
        <f t="shared" si="13"/>
        <v>182180.32</v>
      </c>
      <c r="I15" s="14">
        <f t="shared" si="13"/>
        <v>196253.66999999998</v>
      </c>
      <c r="J15" s="14">
        <f t="shared" si="13"/>
        <v>206929.61000000002</v>
      </c>
      <c r="K15" s="14">
        <f t="shared" ref="K15:M15" si="14">SUM(K16:K23)</f>
        <v>207375.66</v>
      </c>
      <c r="L15" s="14">
        <f t="shared" si="14"/>
        <v>234149.89</v>
      </c>
      <c r="M15" s="14">
        <f t="shared" si="14"/>
        <v>217078.12</v>
      </c>
      <c r="N15" s="14">
        <f>SUM(B15:M15)</f>
        <v>2445342.8000000003</v>
      </c>
    </row>
    <row r="16" spans="1:18" ht="21" customHeight="1" thickBot="1" x14ac:dyDescent="0.3">
      <c r="A16" s="10" t="s">
        <v>31</v>
      </c>
      <c r="B16" s="13">
        <v>177659.72</v>
      </c>
      <c r="C16" s="13">
        <f>185293.76+0.82</f>
        <v>185294.58000000002</v>
      </c>
      <c r="D16" s="13">
        <v>166895.82</v>
      </c>
      <c r="E16" s="13">
        <f>159668.28+3.21</f>
        <v>159671.49</v>
      </c>
      <c r="F16" s="13">
        <f>156096.26+3.54</f>
        <v>156099.80000000002</v>
      </c>
      <c r="G16" s="24">
        <f>192735.56+4.05</f>
        <v>192739.61</v>
      </c>
      <c r="H16" s="13">
        <v>160516.93</v>
      </c>
      <c r="I16" s="13">
        <f>167156.03+9.94</f>
        <v>167165.97</v>
      </c>
      <c r="J16" s="13">
        <f>189331.63+14.37</f>
        <v>189346</v>
      </c>
      <c r="K16" s="13">
        <f>189744.67+14.04</f>
        <v>189758.71000000002</v>
      </c>
      <c r="L16" s="13">
        <f>205059.11+13.66</f>
        <v>205072.77</v>
      </c>
      <c r="M16" s="13">
        <f>190967.62+10.6</f>
        <v>190978.22</v>
      </c>
      <c r="N16" s="13">
        <f>SUM(B16:M16)</f>
        <v>2141199.62</v>
      </c>
    </row>
    <row r="17" spans="1:17" ht="21" customHeight="1" thickBot="1" x14ac:dyDescent="0.3">
      <c r="A17" s="10" t="s">
        <v>32</v>
      </c>
      <c r="B17" s="23">
        <v>1365.68</v>
      </c>
      <c r="C17" s="23">
        <v>1365.68</v>
      </c>
      <c r="D17" s="23">
        <v>1365.68</v>
      </c>
      <c r="E17" s="23">
        <v>1365.68</v>
      </c>
      <c r="F17" s="23">
        <v>1365.68</v>
      </c>
      <c r="G17" s="23">
        <v>1365.68</v>
      </c>
      <c r="H17" s="23">
        <v>1365.68</v>
      </c>
      <c r="I17" s="23">
        <v>1365.68</v>
      </c>
      <c r="J17" s="23">
        <v>1570.69</v>
      </c>
      <c r="K17" s="13">
        <v>1570.69</v>
      </c>
      <c r="L17" s="23">
        <v>1570.69</v>
      </c>
      <c r="M17" s="23">
        <v>1570.69</v>
      </c>
      <c r="N17" s="13">
        <f t="shared" ref="N17:N22" si="15">SUM(B17:M17)</f>
        <v>17208.2</v>
      </c>
    </row>
    <row r="18" spans="1:17" ht="18.75" customHeight="1" thickBot="1" x14ac:dyDescent="0.3">
      <c r="A18" s="10" t="s">
        <v>15</v>
      </c>
      <c r="B18" s="23">
        <v>128.47999999999999</v>
      </c>
      <c r="C18" s="23">
        <v>308.12</v>
      </c>
      <c r="D18" s="23">
        <v>4.7300000000000004</v>
      </c>
      <c r="E18" s="23">
        <v>28.12</v>
      </c>
      <c r="F18" s="23">
        <v>21.58</v>
      </c>
      <c r="G18" s="24">
        <v>13.97</v>
      </c>
      <c r="H18" s="23">
        <v>6.89</v>
      </c>
      <c r="I18" s="23">
        <v>34.049999999999997</v>
      </c>
      <c r="J18" s="23">
        <v>38.299999999999997</v>
      </c>
      <c r="K18" s="13">
        <v>37.74</v>
      </c>
      <c r="L18" s="13">
        <v>34.58</v>
      </c>
      <c r="M18" s="13">
        <v>36.33</v>
      </c>
      <c r="N18" s="13">
        <f t="shared" si="15"/>
        <v>692.8900000000001</v>
      </c>
    </row>
    <row r="19" spans="1:17" ht="21.75" customHeight="1" thickBot="1" x14ac:dyDescent="0.3">
      <c r="A19" s="10" t="s">
        <v>16</v>
      </c>
      <c r="B19" s="23">
        <f>1610.42+13.76</f>
        <v>1624.18</v>
      </c>
      <c r="C19" s="23">
        <f>2536.46+22.27</f>
        <v>2558.73</v>
      </c>
      <c r="D19" s="23">
        <f>848.83+5.9</f>
        <v>854.73</v>
      </c>
      <c r="E19" s="23">
        <f>1936.88+17.69</f>
        <v>1954.5700000000002</v>
      </c>
      <c r="F19" s="23">
        <f>340.85+1.97</f>
        <v>342.82000000000005</v>
      </c>
      <c r="G19" s="24">
        <v>314.06</v>
      </c>
      <c r="H19" s="23">
        <f>1318.57+11.79</f>
        <v>1330.36</v>
      </c>
      <c r="I19" s="23">
        <f>1085.65+9.17</f>
        <v>1094.8200000000002</v>
      </c>
      <c r="J19" s="23">
        <f>558.07+3.93</f>
        <v>562</v>
      </c>
      <c r="K19" s="13">
        <f>445.09+3.28</f>
        <v>448.36999999999995</v>
      </c>
      <c r="L19" s="13">
        <v>117.85</v>
      </c>
      <c r="M19" s="13">
        <v>45.22</v>
      </c>
      <c r="N19" s="13">
        <f t="shared" si="15"/>
        <v>11247.71</v>
      </c>
    </row>
    <row r="20" spans="1:17" ht="19.5" customHeight="1" thickBot="1" x14ac:dyDescent="0.3">
      <c r="A20" s="10" t="s">
        <v>17</v>
      </c>
      <c r="B20" s="15">
        <f>10962.3+91.05</f>
        <v>11053.349999999999</v>
      </c>
      <c r="C20" s="15">
        <f>13369.41+110.04</f>
        <v>13479.45</v>
      </c>
      <c r="D20" s="15">
        <f>10837.63+87.77</f>
        <v>10925.4</v>
      </c>
      <c r="E20" s="15">
        <f>8638.5+74.02</f>
        <v>8712.52</v>
      </c>
      <c r="F20" s="15">
        <f>5735.57+48.47</f>
        <v>5784.04</v>
      </c>
      <c r="G20" s="30">
        <v>2188.75</v>
      </c>
      <c r="H20" s="16">
        <f>2205.23+18.34</f>
        <v>2223.5700000000002</v>
      </c>
      <c r="I20" s="17">
        <f>10249.68+89.74</f>
        <v>10339.42</v>
      </c>
      <c r="J20" s="17">
        <v>800.76</v>
      </c>
      <c r="K20" s="13">
        <v>337.71</v>
      </c>
      <c r="L20" s="13">
        <f>10674.89+88.43</f>
        <v>10763.32</v>
      </c>
      <c r="M20" s="13">
        <f>2177.9+13.1</f>
        <v>2191</v>
      </c>
      <c r="N20" s="13">
        <f t="shared" si="15"/>
        <v>78799.290000000008</v>
      </c>
    </row>
    <row r="21" spans="1:17" ht="19.5" customHeight="1" thickBot="1" x14ac:dyDescent="0.3">
      <c r="A21" s="10" t="s">
        <v>28</v>
      </c>
      <c r="B21" s="16">
        <f>1225.4+9.83</f>
        <v>1235.23</v>
      </c>
      <c r="C21" s="17">
        <f>1281.23+9.83</f>
        <v>1291.06</v>
      </c>
      <c r="D21" s="17">
        <f>1194.53+9.83</f>
        <v>1204.3599999999999</v>
      </c>
      <c r="E21" s="17">
        <f>1133.33+9.83</f>
        <v>1143.1599999999999</v>
      </c>
      <c r="F21" s="17">
        <f>1826.32+16.38</f>
        <v>1842.7</v>
      </c>
      <c r="G21" s="31">
        <f>2023.21+15.07</f>
        <v>2038.28</v>
      </c>
      <c r="H21" s="23">
        <f>3503.97+31.44</f>
        <v>3535.41</v>
      </c>
      <c r="I21" s="23">
        <f>2541.25+20.96</f>
        <v>2562.21</v>
      </c>
      <c r="J21" s="23">
        <f>2444.67+20.31</f>
        <v>2464.98</v>
      </c>
      <c r="K21" s="13">
        <f>2762.94+23.58</f>
        <v>2786.52</v>
      </c>
      <c r="L21" s="13">
        <f>2365.7+18.34</f>
        <v>2384.04</v>
      </c>
      <c r="M21" s="13">
        <f>2273.86+18.34</f>
        <v>2292.2000000000003</v>
      </c>
      <c r="N21" s="13">
        <f t="shared" si="15"/>
        <v>24780.15</v>
      </c>
    </row>
    <row r="22" spans="1:17" ht="19.5" customHeight="1" thickBot="1" x14ac:dyDescent="0.3">
      <c r="A22" s="10" t="s">
        <v>46</v>
      </c>
      <c r="B22" s="16">
        <f>12580.98+84.47</f>
        <v>12665.449999999999</v>
      </c>
      <c r="C22" s="16">
        <f>13045.11+84.47</f>
        <v>13129.58</v>
      </c>
      <c r="D22" s="16">
        <f>11454.64+84.47</f>
        <v>11539.109999999999</v>
      </c>
      <c r="E22" s="16">
        <f>10927.17+84.47</f>
        <v>11011.64</v>
      </c>
      <c r="F22" s="16">
        <f>12160.18+84.47</f>
        <v>12244.65</v>
      </c>
      <c r="G22" s="32">
        <f>16743.14+84.47</f>
        <v>16827.61</v>
      </c>
      <c r="H22" s="23">
        <f>11217.01+84.47</f>
        <v>11301.48</v>
      </c>
      <c r="I22" s="23">
        <f>12607.05+84.47</f>
        <v>12691.519999999999</v>
      </c>
      <c r="J22" s="23">
        <f>11662.41+84.47</f>
        <v>11746.88</v>
      </c>
      <c r="K22" s="13">
        <f>11651.45+84.47</f>
        <v>11735.92</v>
      </c>
      <c r="L22" s="13">
        <f>12822.17+84.47</f>
        <v>12906.64</v>
      </c>
      <c r="M22" s="13">
        <f>16779.99+84.47</f>
        <v>16864.460000000003</v>
      </c>
      <c r="N22" s="13">
        <f t="shared" si="15"/>
        <v>154664.94</v>
      </c>
    </row>
    <row r="23" spans="1:17" ht="18.75" customHeight="1" thickBot="1" x14ac:dyDescent="0.3">
      <c r="A23" s="10" t="s">
        <v>24</v>
      </c>
      <c r="B23" s="16">
        <v>850</v>
      </c>
      <c r="C23" s="16">
        <v>4550</v>
      </c>
      <c r="D23" s="16">
        <v>850</v>
      </c>
      <c r="E23" s="16">
        <v>400</v>
      </c>
      <c r="F23" s="16">
        <v>1300</v>
      </c>
      <c r="G23" s="32">
        <v>400</v>
      </c>
      <c r="H23" s="13">
        <v>1900</v>
      </c>
      <c r="I23" s="13">
        <v>1000</v>
      </c>
      <c r="J23" s="13">
        <v>400</v>
      </c>
      <c r="K23" s="13">
        <v>700</v>
      </c>
      <c r="L23" s="13">
        <v>1300</v>
      </c>
      <c r="M23" s="13">
        <v>3100</v>
      </c>
      <c r="N23" s="13">
        <f>SUM(B23:M23)</f>
        <v>16750</v>
      </c>
    </row>
    <row r="24" spans="1:17" ht="21.75" customHeight="1" thickBot="1" x14ac:dyDescent="0.3">
      <c r="A24" s="9" t="s">
        <v>22</v>
      </c>
      <c r="B24" s="18"/>
      <c r="C24" s="18"/>
      <c r="D24" s="18"/>
      <c r="E24" s="18"/>
      <c r="F24" s="18"/>
      <c r="G24" s="33"/>
      <c r="H24" s="18"/>
      <c r="I24" s="18"/>
      <c r="J24" s="18"/>
      <c r="K24" s="18"/>
      <c r="L24" s="18"/>
      <c r="M24" s="18"/>
      <c r="N24" s="19"/>
    </row>
    <row r="25" spans="1:17" ht="19.5" customHeight="1" thickBot="1" x14ac:dyDescent="0.3">
      <c r="A25" s="10" t="s">
        <v>1</v>
      </c>
      <c r="B25" s="23">
        <f>8265.2*0.6</f>
        <v>4959.12</v>
      </c>
      <c r="C25" s="23">
        <f t="shared" ref="C25:M25" si="16">8265.2*0.6</f>
        <v>4959.12</v>
      </c>
      <c r="D25" s="23">
        <f t="shared" si="16"/>
        <v>4959.12</v>
      </c>
      <c r="E25" s="23">
        <f t="shared" si="16"/>
        <v>4959.12</v>
      </c>
      <c r="F25" s="23">
        <f t="shared" si="16"/>
        <v>4959.12</v>
      </c>
      <c r="G25" s="23">
        <f t="shared" si="16"/>
        <v>4959.12</v>
      </c>
      <c r="H25" s="23">
        <f t="shared" si="16"/>
        <v>4959.12</v>
      </c>
      <c r="I25" s="23">
        <f t="shared" si="16"/>
        <v>4959.12</v>
      </c>
      <c r="J25" s="23">
        <f t="shared" si="16"/>
        <v>4959.12</v>
      </c>
      <c r="K25" s="23">
        <f t="shared" si="16"/>
        <v>4959.12</v>
      </c>
      <c r="L25" s="23">
        <f t="shared" si="16"/>
        <v>4959.12</v>
      </c>
      <c r="M25" s="23">
        <f t="shared" si="16"/>
        <v>4959.12</v>
      </c>
      <c r="N25" s="13">
        <f>SUM(B25:M25)</f>
        <v>59509.44000000001</v>
      </c>
      <c r="O25" s="25"/>
    </row>
    <row r="26" spans="1:17" ht="22.5" customHeight="1" thickBot="1" x14ac:dyDescent="0.3">
      <c r="A26" s="10" t="s">
        <v>2</v>
      </c>
      <c r="B26" s="23">
        <f t="shared" ref="B26:M26" si="17">8265.2*0.17</f>
        <v>1405.0840000000003</v>
      </c>
      <c r="C26" s="23">
        <f t="shared" si="17"/>
        <v>1405.0840000000003</v>
      </c>
      <c r="D26" s="23">
        <f t="shared" si="17"/>
        <v>1405.0840000000003</v>
      </c>
      <c r="E26" s="23">
        <f t="shared" si="17"/>
        <v>1405.0840000000003</v>
      </c>
      <c r="F26" s="23">
        <f t="shared" si="17"/>
        <v>1405.0840000000003</v>
      </c>
      <c r="G26" s="23">
        <f t="shared" si="17"/>
        <v>1405.0840000000003</v>
      </c>
      <c r="H26" s="23">
        <f t="shared" si="17"/>
        <v>1405.0840000000003</v>
      </c>
      <c r="I26" s="23">
        <f t="shared" si="17"/>
        <v>1405.0840000000003</v>
      </c>
      <c r="J26" s="23">
        <f t="shared" si="17"/>
        <v>1405.0840000000003</v>
      </c>
      <c r="K26" s="23">
        <f t="shared" si="17"/>
        <v>1405.0840000000003</v>
      </c>
      <c r="L26" s="23">
        <f t="shared" si="17"/>
        <v>1405.0840000000003</v>
      </c>
      <c r="M26" s="23">
        <f t="shared" si="17"/>
        <v>1405.0840000000003</v>
      </c>
      <c r="N26" s="23">
        <f t="shared" ref="N26:N42" si="18">SUM(B26:M26)</f>
        <v>16861.008000000005</v>
      </c>
      <c r="O26" s="25"/>
    </row>
    <row r="27" spans="1:17" ht="21" customHeight="1" thickBot="1" x14ac:dyDescent="0.3">
      <c r="A27" s="10" t="s">
        <v>3</v>
      </c>
      <c r="B27" s="23">
        <f>200813.78*2.3%</f>
        <v>4618.7169400000002</v>
      </c>
      <c r="C27" s="13">
        <f>195971.17*2.3%</f>
        <v>4507.33691</v>
      </c>
      <c r="D27" s="13">
        <f>195700.51*2.3%</f>
        <v>4501.1117300000005</v>
      </c>
      <c r="E27" s="13">
        <f>191449.41*2.3%</f>
        <v>4403.3364300000003</v>
      </c>
      <c r="F27" s="13">
        <f>184904.15*2.3%</f>
        <v>4252.7954499999996</v>
      </c>
      <c r="G27" s="24">
        <f>190760.75*2.3%</f>
        <v>4387.4972500000003</v>
      </c>
      <c r="H27" s="13">
        <f>197920.23*2.3%</f>
        <v>4552.1652899999999</v>
      </c>
      <c r="I27" s="13">
        <f>211664.17*2.3%</f>
        <v>4868.2759100000003</v>
      </c>
      <c r="J27" s="13">
        <f>211962.03*2.3%</f>
        <v>4875.1266900000001</v>
      </c>
      <c r="K27" s="13">
        <f>221995.52*2.3%</f>
        <v>5105.89696</v>
      </c>
      <c r="L27" s="13">
        <f>212589.55*2.3%</f>
        <v>4889.5596499999992</v>
      </c>
      <c r="M27" s="13">
        <f>253699.33*2.3%</f>
        <v>5835.0845899999995</v>
      </c>
      <c r="N27" s="23">
        <f t="shared" si="18"/>
        <v>56796.9038</v>
      </c>
      <c r="Q27" s="20"/>
    </row>
    <row r="28" spans="1:17" ht="23.25" customHeight="1" thickBot="1" x14ac:dyDescent="0.3">
      <c r="A28" s="10" t="s">
        <v>4</v>
      </c>
      <c r="B28" s="23">
        <f>204167.3*3%</f>
        <v>6125.0189999999993</v>
      </c>
      <c r="C28" s="13">
        <f>215834.91*3%</f>
        <v>6475.0473000000002</v>
      </c>
      <c r="D28" s="13">
        <f>191236.18*3%</f>
        <v>5737.0853999999999</v>
      </c>
      <c r="E28" s="13">
        <f>182335.49*3%</f>
        <v>5470.0646999999999</v>
      </c>
      <c r="F28" s="13">
        <f>176184.3*3%</f>
        <v>5285.5289999999995</v>
      </c>
      <c r="G28" s="24">
        <f>214022.74*3%</f>
        <v>6420.6821999999993</v>
      </c>
      <c r="H28" s="13">
        <f>178768.6*3%</f>
        <v>5363.058</v>
      </c>
      <c r="I28" s="13">
        <f>193683.65*3%</f>
        <v>5810.5094999999992</v>
      </c>
      <c r="J28" s="13">
        <f>204850.21*3%</f>
        <v>6145.5062999999991</v>
      </c>
      <c r="K28" s="13">
        <f>204993.64*3%</f>
        <v>6149.8092000000006</v>
      </c>
      <c r="L28" s="13">
        <f>231087.96*3%</f>
        <v>6932.6387999999997</v>
      </c>
      <c r="M28" s="13">
        <f>212291.52*3%</f>
        <v>6368.7455999999993</v>
      </c>
      <c r="N28" s="23">
        <f t="shared" si="18"/>
        <v>72283.694999999992</v>
      </c>
    </row>
    <row r="29" spans="1:17" ht="23.25" customHeight="1" thickBot="1" x14ac:dyDescent="0.3">
      <c r="A29" s="7" t="s">
        <v>9</v>
      </c>
      <c r="B29" s="24">
        <f t="shared" ref="B29:M29" si="19">8265.2*8.5</f>
        <v>70254.200000000012</v>
      </c>
      <c r="C29" s="24">
        <f t="shared" si="19"/>
        <v>70254.200000000012</v>
      </c>
      <c r="D29" s="24">
        <f t="shared" si="19"/>
        <v>70254.200000000012</v>
      </c>
      <c r="E29" s="24">
        <f t="shared" si="19"/>
        <v>70254.200000000012</v>
      </c>
      <c r="F29" s="24">
        <f t="shared" si="19"/>
        <v>70254.200000000012</v>
      </c>
      <c r="G29" s="24">
        <f t="shared" si="19"/>
        <v>70254.200000000012</v>
      </c>
      <c r="H29" s="24">
        <f t="shared" si="19"/>
        <v>70254.200000000012</v>
      </c>
      <c r="I29" s="24">
        <f t="shared" si="19"/>
        <v>70254.200000000012</v>
      </c>
      <c r="J29" s="24">
        <f t="shared" si="19"/>
        <v>70254.200000000012</v>
      </c>
      <c r="K29" s="24">
        <f t="shared" si="19"/>
        <v>70254.200000000012</v>
      </c>
      <c r="L29" s="24">
        <f t="shared" si="19"/>
        <v>70254.200000000012</v>
      </c>
      <c r="M29" s="24">
        <f t="shared" si="19"/>
        <v>70254.200000000012</v>
      </c>
      <c r="N29" s="23">
        <f t="shared" si="18"/>
        <v>843050.39999999991</v>
      </c>
    </row>
    <row r="30" spans="1:17" ht="18.600000000000001" customHeight="1" thickBot="1" x14ac:dyDescent="0.3">
      <c r="A30" s="10" t="s">
        <v>18</v>
      </c>
      <c r="B30" s="23">
        <v>0</v>
      </c>
      <c r="C30" s="23">
        <v>0</v>
      </c>
      <c r="D30" s="23">
        <v>0</v>
      </c>
      <c r="E30" s="23">
        <v>0</v>
      </c>
      <c r="F30" s="23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3">
        <f t="shared" si="18"/>
        <v>0</v>
      </c>
    </row>
    <row r="31" spans="1:17" ht="20.25" customHeight="1" thickBot="1" x14ac:dyDescent="0.3">
      <c r="A31" s="10" t="s">
        <v>19</v>
      </c>
      <c r="B31" s="23">
        <v>727.31</v>
      </c>
      <c r="C31" s="13">
        <v>2193.2600000000002</v>
      </c>
      <c r="D31" s="13">
        <v>274.26</v>
      </c>
      <c r="E31" s="13">
        <v>0</v>
      </c>
      <c r="F31" s="13">
        <v>1517.63</v>
      </c>
      <c r="G31" s="24">
        <v>1126.7</v>
      </c>
      <c r="H31" s="13">
        <v>529.12</v>
      </c>
      <c r="I31" s="13">
        <v>435.89</v>
      </c>
      <c r="J31" s="13">
        <v>0</v>
      </c>
      <c r="K31" s="23">
        <v>0</v>
      </c>
      <c r="L31" s="23">
        <v>0</v>
      </c>
      <c r="M31" s="23">
        <v>0</v>
      </c>
      <c r="N31" s="23">
        <f t="shared" si="18"/>
        <v>6804.17</v>
      </c>
    </row>
    <row r="32" spans="1:17" ht="19.5" customHeight="1" thickBot="1" x14ac:dyDescent="0.3">
      <c r="A32" s="10" t="s">
        <v>20</v>
      </c>
      <c r="B32" s="23">
        <v>11063.91</v>
      </c>
      <c r="C32" s="13">
        <v>9325.0499999999993</v>
      </c>
      <c r="D32" s="13">
        <v>6100.5</v>
      </c>
      <c r="E32" s="13">
        <v>0</v>
      </c>
      <c r="F32" s="13">
        <v>2319.86</v>
      </c>
      <c r="G32" s="24">
        <v>11341.96</v>
      </c>
      <c r="H32" s="13">
        <v>0</v>
      </c>
      <c r="I32" s="13">
        <v>0</v>
      </c>
      <c r="J32" s="13">
        <v>11180.1</v>
      </c>
      <c r="K32" s="13">
        <v>1643.39</v>
      </c>
      <c r="L32" s="13">
        <v>43645.54</v>
      </c>
      <c r="M32" s="13">
        <v>14740.8</v>
      </c>
      <c r="N32" s="23">
        <f t="shared" si="18"/>
        <v>111361.11</v>
      </c>
    </row>
    <row r="33" spans="1:18" s="22" customFormat="1" ht="19.5" customHeight="1" thickBot="1" x14ac:dyDescent="0.3">
      <c r="A33" s="21" t="s">
        <v>28</v>
      </c>
      <c r="B33" s="24">
        <v>1240.0899999999999</v>
      </c>
      <c r="C33" s="24">
        <v>1240.0899999999999</v>
      </c>
      <c r="D33" s="24">
        <f>264.6+1817.44</f>
        <v>2082.04</v>
      </c>
      <c r="E33" s="24">
        <f>0+1892.77</f>
        <v>1892.77</v>
      </c>
      <c r="F33" s="24">
        <f>1464.2+2477.98</f>
        <v>3942.1800000000003</v>
      </c>
      <c r="G33" s="24">
        <f>1087.03+1543.51</f>
        <v>2630.54</v>
      </c>
      <c r="H33" s="24">
        <v>2058.9</v>
      </c>
      <c r="I33" s="24">
        <f>420.54+2542.37</f>
        <v>2962.91</v>
      </c>
      <c r="J33" s="24">
        <v>2332.39</v>
      </c>
      <c r="K33" s="24">
        <v>2385.7600000000002</v>
      </c>
      <c r="L33" s="24">
        <v>1821.6</v>
      </c>
      <c r="M33" s="24">
        <v>1342.7</v>
      </c>
      <c r="N33" s="23">
        <f t="shared" si="18"/>
        <v>25931.969999999998</v>
      </c>
      <c r="R33" s="26"/>
    </row>
    <row r="34" spans="1:18" ht="22.5" customHeight="1" thickBot="1" x14ac:dyDescent="0.3">
      <c r="A34" s="10" t="s">
        <v>6</v>
      </c>
      <c r="B34" s="23">
        <f t="shared" ref="B34:H34" si="20">8265.2*3.13</f>
        <v>25870.076000000001</v>
      </c>
      <c r="C34" s="23">
        <f t="shared" si="20"/>
        <v>25870.076000000001</v>
      </c>
      <c r="D34" s="23">
        <f t="shared" si="20"/>
        <v>25870.076000000001</v>
      </c>
      <c r="E34" s="23">
        <f t="shared" si="20"/>
        <v>25870.076000000001</v>
      </c>
      <c r="F34" s="23">
        <f t="shared" si="20"/>
        <v>25870.076000000001</v>
      </c>
      <c r="G34" s="23">
        <f t="shared" si="20"/>
        <v>25870.076000000001</v>
      </c>
      <c r="H34" s="23">
        <f t="shared" si="20"/>
        <v>25870.076000000001</v>
      </c>
      <c r="I34" s="23">
        <f>8265.2*3.6</f>
        <v>29754.720000000005</v>
      </c>
      <c r="J34" s="23">
        <f>8265.2*3.6</f>
        <v>29754.720000000005</v>
      </c>
      <c r="K34" s="23">
        <f t="shared" ref="K34:M34" si="21">8265.2*3.6</f>
        <v>29754.720000000005</v>
      </c>
      <c r="L34" s="23">
        <f t="shared" si="21"/>
        <v>29754.720000000005</v>
      </c>
      <c r="M34" s="23">
        <f t="shared" si="21"/>
        <v>29754.720000000005</v>
      </c>
      <c r="N34" s="23">
        <f t="shared" si="18"/>
        <v>329864.1320000001</v>
      </c>
    </row>
    <row r="35" spans="1:18" ht="20.25" customHeight="1" thickBot="1" x14ac:dyDescent="0.3">
      <c r="A35" s="10" t="s">
        <v>25</v>
      </c>
      <c r="B35" s="23">
        <f>7553.56*4</f>
        <v>30214.240000000002</v>
      </c>
      <c r="C35" s="23">
        <f t="shared" ref="C35:K35" si="22">7553.56*4</f>
        <v>30214.240000000002</v>
      </c>
      <c r="D35" s="23">
        <f t="shared" si="22"/>
        <v>30214.240000000002</v>
      </c>
      <c r="E35" s="23">
        <f t="shared" si="22"/>
        <v>30214.240000000002</v>
      </c>
      <c r="F35" s="23">
        <f t="shared" si="22"/>
        <v>30214.240000000002</v>
      </c>
      <c r="G35" s="23">
        <f t="shared" si="22"/>
        <v>30214.240000000002</v>
      </c>
      <c r="H35" s="23">
        <f t="shared" si="22"/>
        <v>30214.240000000002</v>
      </c>
      <c r="I35" s="23">
        <f t="shared" si="22"/>
        <v>30214.240000000002</v>
      </c>
      <c r="J35" s="23">
        <f t="shared" si="22"/>
        <v>30214.240000000002</v>
      </c>
      <c r="K35" s="23">
        <f t="shared" si="22"/>
        <v>30214.240000000002</v>
      </c>
      <c r="L35" s="23">
        <f>7553.56*4</f>
        <v>30214.240000000002</v>
      </c>
      <c r="M35" s="23">
        <f>7553.56*4</f>
        <v>30214.240000000002</v>
      </c>
      <c r="N35" s="23">
        <f t="shared" si="18"/>
        <v>362570.87999999995</v>
      </c>
    </row>
    <row r="36" spans="1:18" ht="18.75" customHeight="1" thickBot="1" x14ac:dyDescent="0.3">
      <c r="A36" s="10" t="s">
        <v>26</v>
      </c>
      <c r="B36" s="23">
        <v>0</v>
      </c>
      <c r="C36" s="23">
        <v>0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  <c r="J36" s="23">
        <v>0</v>
      </c>
      <c r="K36" s="23">
        <v>0</v>
      </c>
      <c r="L36" s="23">
        <v>0</v>
      </c>
      <c r="M36" s="23">
        <v>0</v>
      </c>
      <c r="N36" s="23">
        <f t="shared" si="18"/>
        <v>0</v>
      </c>
    </row>
    <row r="37" spans="1:18" ht="21.75" customHeight="1" thickBot="1" x14ac:dyDescent="0.3">
      <c r="A37" s="10" t="s">
        <v>46</v>
      </c>
      <c r="B37" s="23">
        <v>12000</v>
      </c>
      <c r="C37" s="13">
        <v>12430</v>
      </c>
      <c r="D37" s="13">
        <v>11005</v>
      </c>
      <c r="E37" s="13">
        <v>10350</v>
      </c>
      <c r="F37" s="13">
        <v>11510</v>
      </c>
      <c r="G37" s="24">
        <v>16175</v>
      </c>
      <c r="H37" s="13">
        <v>10860</v>
      </c>
      <c r="I37" s="13">
        <v>10248</v>
      </c>
      <c r="J37" s="13">
        <v>4034</v>
      </c>
      <c r="K37" s="13">
        <v>5699</v>
      </c>
      <c r="L37" s="13">
        <v>5063</v>
      </c>
      <c r="M37" s="13">
        <v>11385</v>
      </c>
      <c r="N37" s="23">
        <f t="shared" si="18"/>
        <v>120759</v>
      </c>
    </row>
    <row r="38" spans="1:18" ht="21.75" customHeight="1" thickBot="1" x14ac:dyDescent="0.3">
      <c r="A38" s="10" t="s">
        <v>48</v>
      </c>
      <c r="B38" s="23">
        <v>0</v>
      </c>
      <c r="C38" s="23">
        <v>0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  <c r="J38" s="23">
        <v>5852</v>
      </c>
      <c r="K38" s="23">
        <v>3901</v>
      </c>
      <c r="L38" s="23">
        <v>3901</v>
      </c>
      <c r="M38" s="23">
        <v>3901</v>
      </c>
      <c r="N38" s="23">
        <f t="shared" si="18"/>
        <v>17555</v>
      </c>
    </row>
    <row r="39" spans="1:18" ht="21.75" customHeight="1" thickBot="1" x14ac:dyDescent="0.3">
      <c r="A39" s="10" t="s">
        <v>47</v>
      </c>
      <c r="B39" s="23">
        <v>0</v>
      </c>
      <c r="C39" s="23">
        <v>0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1532</v>
      </c>
      <c r="J39" s="23">
        <v>1477</v>
      </c>
      <c r="K39" s="23">
        <v>1434</v>
      </c>
      <c r="L39" s="23">
        <v>1339</v>
      </c>
      <c r="M39" s="23">
        <v>2284</v>
      </c>
      <c r="N39" s="23">
        <f t="shared" si="18"/>
        <v>8066</v>
      </c>
    </row>
    <row r="40" spans="1:18" ht="21" customHeight="1" thickBot="1" x14ac:dyDescent="0.3">
      <c r="A40" s="10" t="s">
        <v>23</v>
      </c>
      <c r="B40" s="23">
        <f>900+900</f>
        <v>1800</v>
      </c>
      <c r="C40" s="23">
        <f>900+900</f>
        <v>1800</v>
      </c>
      <c r="D40" s="23">
        <f>900+900</f>
        <v>1800</v>
      </c>
      <c r="E40" s="23">
        <f t="shared" ref="E40:G40" si="23">900+900</f>
        <v>1800</v>
      </c>
      <c r="F40" s="23">
        <f t="shared" si="23"/>
        <v>1800</v>
      </c>
      <c r="G40" s="23">
        <f t="shared" si="23"/>
        <v>1800</v>
      </c>
      <c r="H40" s="23">
        <f t="shared" ref="H40:M40" si="24">900+900</f>
        <v>1800</v>
      </c>
      <c r="I40" s="23">
        <f t="shared" si="24"/>
        <v>1800</v>
      </c>
      <c r="J40" s="23">
        <f t="shared" si="24"/>
        <v>1800</v>
      </c>
      <c r="K40" s="23">
        <f t="shared" si="24"/>
        <v>1800</v>
      </c>
      <c r="L40" s="23">
        <f t="shared" si="24"/>
        <v>1800</v>
      </c>
      <c r="M40" s="23">
        <f t="shared" si="24"/>
        <v>1800</v>
      </c>
      <c r="N40" s="23">
        <f t="shared" si="18"/>
        <v>21600</v>
      </c>
      <c r="R40" s="20"/>
    </row>
    <row r="41" spans="1:18" ht="19.5" customHeight="1" thickBot="1" x14ac:dyDescent="0.3">
      <c r="A41" s="10" t="s">
        <v>27</v>
      </c>
      <c r="B41" s="23">
        <v>1800</v>
      </c>
      <c r="C41" s="23">
        <v>1800</v>
      </c>
      <c r="D41" s="23">
        <v>1800</v>
      </c>
      <c r="E41" s="23">
        <v>1800</v>
      </c>
      <c r="F41" s="23">
        <v>1800</v>
      </c>
      <c r="G41" s="23">
        <v>1800</v>
      </c>
      <c r="H41" s="23">
        <v>1800</v>
      </c>
      <c r="I41" s="23">
        <v>1800</v>
      </c>
      <c r="J41" s="23">
        <v>1800</v>
      </c>
      <c r="K41" s="23">
        <v>1800</v>
      </c>
      <c r="L41" s="23">
        <v>1800</v>
      </c>
      <c r="M41" s="23">
        <v>1800</v>
      </c>
      <c r="N41" s="23">
        <f t="shared" si="18"/>
        <v>21600</v>
      </c>
    </row>
    <row r="42" spans="1:18" ht="20.25" customHeight="1" thickBot="1" x14ac:dyDescent="0.3">
      <c r="A42" s="10" t="s">
        <v>10</v>
      </c>
      <c r="B42" s="23">
        <f>105+105+738.5</f>
        <v>948.5</v>
      </c>
      <c r="C42" s="13">
        <f>85.5*4</f>
        <v>342</v>
      </c>
      <c r="D42" s="13">
        <v>0</v>
      </c>
      <c r="E42" s="13">
        <f>793.5+678.9</f>
        <v>1472.4</v>
      </c>
      <c r="F42" s="13">
        <f>1819.1+1789.4+6007.9+1768.2+13150.9+7810.9+4443.6</f>
        <v>36790</v>
      </c>
      <c r="G42" s="24">
        <f>35370+34341.69</f>
        <v>69711.69</v>
      </c>
      <c r="H42" s="13">
        <f>518.5</f>
        <v>518.5</v>
      </c>
      <c r="I42" s="13">
        <f>627.6+2790.7+3264.7</f>
        <v>6683</v>
      </c>
      <c r="J42" s="13">
        <f>868.6+16231.58</f>
        <v>17100.18</v>
      </c>
      <c r="K42" s="13">
        <f>6000+7778.5+2064+687.7</f>
        <v>16530.2</v>
      </c>
      <c r="L42" s="13">
        <f>5508.9+4848.4+2959.9+5825.7+1401.4+2754.1+1615.7+943.3+35328.3+4995.9+1947.8+2836.7+4307.9+24093</f>
        <v>99366.999999999985</v>
      </c>
      <c r="M42" s="13">
        <f>125777.44+2638.4+2635.8+17652.3+4307.9+1401</f>
        <v>154412.84</v>
      </c>
      <c r="N42" s="23">
        <f t="shared" si="18"/>
        <v>403876.30999999994</v>
      </c>
    </row>
    <row r="43" spans="1:18" ht="22.5" customHeight="1" thickBot="1" x14ac:dyDescent="0.3">
      <c r="A43" s="6" t="s">
        <v>21</v>
      </c>
      <c r="B43" s="12">
        <f t="shared" ref="B43:M43" si="25">SUM(B25:B42)</f>
        <v>173026.26594000001</v>
      </c>
      <c r="C43" s="12">
        <f t="shared" si="25"/>
        <v>172815.50421000001</v>
      </c>
      <c r="D43" s="12">
        <f t="shared" si="25"/>
        <v>166002.71713</v>
      </c>
      <c r="E43" s="12">
        <f t="shared" si="25"/>
        <v>159891.29113</v>
      </c>
      <c r="F43" s="12">
        <f t="shared" si="25"/>
        <v>201920.71445</v>
      </c>
      <c r="G43" s="12">
        <f t="shared" si="25"/>
        <v>248096.78945000001</v>
      </c>
      <c r="H43" s="12">
        <f t="shared" si="25"/>
        <v>160184.46328999999</v>
      </c>
      <c r="I43" s="12">
        <f t="shared" si="25"/>
        <v>172727.94941</v>
      </c>
      <c r="J43" s="12">
        <f t="shared" si="25"/>
        <v>193183.66699</v>
      </c>
      <c r="K43" s="12">
        <f t="shared" si="25"/>
        <v>183036.42016000001</v>
      </c>
      <c r="L43" s="12">
        <f t="shared" si="25"/>
        <v>307146.70244999998</v>
      </c>
      <c r="M43" s="12">
        <f t="shared" si="25"/>
        <v>340457.53419000003</v>
      </c>
      <c r="N43" s="12">
        <f>SUM(B43:M43)</f>
        <v>2478490.0187999997</v>
      </c>
      <c r="Q43" s="20"/>
    </row>
    <row r="44" spans="1:18" ht="18" customHeight="1" thickBot="1" x14ac:dyDescent="0.3">
      <c r="A44" s="7" t="s">
        <v>5</v>
      </c>
      <c r="B44" s="15">
        <f t="shared" ref="B44:N44" si="26">B15-B43</f>
        <v>33555.824060000014</v>
      </c>
      <c r="C44" s="15">
        <f t="shared" si="26"/>
        <v>49161.695789999998</v>
      </c>
      <c r="D44" s="15">
        <f t="shared" si="26"/>
        <v>27637.112869999983</v>
      </c>
      <c r="E44" s="15">
        <f t="shared" si="26"/>
        <v>24395.888869999995</v>
      </c>
      <c r="F44" s="15">
        <f t="shared" si="26"/>
        <v>-22919.444449999981</v>
      </c>
      <c r="G44" s="30">
        <f t="shared" si="26"/>
        <v>-32208.829450000048</v>
      </c>
      <c r="H44" s="15">
        <f t="shared" si="26"/>
        <v>21995.856710000022</v>
      </c>
      <c r="I44" s="15">
        <f t="shared" si="26"/>
        <v>23525.720589999983</v>
      </c>
      <c r="J44" s="15">
        <f t="shared" si="26"/>
        <v>13745.943010000017</v>
      </c>
      <c r="K44" s="15">
        <f t="shared" si="26"/>
        <v>24339.239839999995</v>
      </c>
      <c r="L44" s="15">
        <f t="shared" si="26"/>
        <v>-72996.812449999969</v>
      </c>
      <c r="M44" s="15">
        <f t="shared" si="26"/>
        <v>-123379.41419000004</v>
      </c>
      <c r="N44" s="13">
        <f t="shared" si="26"/>
        <v>-33147.218799999449</v>
      </c>
    </row>
    <row r="45" spans="1:18" ht="23.25" customHeight="1" thickBot="1" x14ac:dyDescent="0.3">
      <c r="A45" s="7" t="s">
        <v>7</v>
      </c>
      <c r="B45" s="16">
        <f t="shared" ref="B45:N45" si="27">B4+B44</f>
        <v>-703271.27593999996</v>
      </c>
      <c r="C45" s="16">
        <f t="shared" si="27"/>
        <v>-654109.58014999994</v>
      </c>
      <c r="D45" s="16">
        <f t="shared" si="27"/>
        <v>-626472.46727999998</v>
      </c>
      <c r="E45" s="16">
        <f t="shared" si="27"/>
        <v>-602076.57840999996</v>
      </c>
      <c r="F45" s="16">
        <f t="shared" si="27"/>
        <v>-624996.02285999991</v>
      </c>
      <c r="G45" s="32">
        <f t="shared" si="27"/>
        <v>-657204.85230999999</v>
      </c>
      <c r="H45" s="16">
        <f t="shared" si="27"/>
        <v>-635208.99560000002</v>
      </c>
      <c r="I45" s="16">
        <f t="shared" si="27"/>
        <v>-611683.27500999998</v>
      </c>
      <c r="J45" s="16">
        <f t="shared" si="27"/>
        <v>-597937.33199999994</v>
      </c>
      <c r="K45" s="16">
        <f t="shared" si="27"/>
        <v>-573598.09216</v>
      </c>
      <c r="L45" s="16">
        <f t="shared" si="27"/>
        <v>-646594.90460999997</v>
      </c>
      <c r="M45" s="16">
        <f t="shared" si="27"/>
        <v>-769974.31880000001</v>
      </c>
      <c r="N45" s="16">
        <f t="shared" si="27"/>
        <v>-769974.31879999943</v>
      </c>
    </row>
    <row r="46" spans="1:18" ht="27" customHeight="1" thickBot="1" x14ac:dyDescent="0.3">
      <c r="A46" s="9" t="s">
        <v>11</v>
      </c>
      <c r="B46" s="19">
        <f>B5+B15-B6</f>
        <v>-769578.7</v>
      </c>
      <c r="C46" s="19">
        <f t="shared" ref="C46:N46" si="28">C5+C15-C6</f>
        <v>-746476.32</v>
      </c>
      <c r="D46" s="19">
        <f t="shared" si="28"/>
        <v>-751438.69</v>
      </c>
      <c r="E46" s="19">
        <f t="shared" si="28"/>
        <v>-761467.89</v>
      </c>
      <c r="F46" s="19">
        <f t="shared" si="28"/>
        <v>-770185.99</v>
      </c>
      <c r="G46" s="29">
        <f t="shared" si="28"/>
        <v>-747920.5</v>
      </c>
      <c r="H46" s="19">
        <f t="shared" si="28"/>
        <v>-766580.42999999993</v>
      </c>
      <c r="I46" s="19">
        <f t="shared" si="28"/>
        <v>-785020.33000000007</v>
      </c>
      <c r="J46" s="19">
        <f t="shared" si="28"/>
        <v>-793084.77</v>
      </c>
      <c r="K46" s="19">
        <f t="shared" si="28"/>
        <v>-813216.55999999994</v>
      </c>
      <c r="L46" s="19">
        <f t="shared" si="28"/>
        <v>-795292.82</v>
      </c>
      <c r="M46" s="19">
        <f>M5+M15-M6</f>
        <v>-835879.44</v>
      </c>
      <c r="N46" s="19">
        <f t="shared" si="28"/>
        <v>-835879.44000000018</v>
      </c>
    </row>
    <row r="52" spans="4:6" x14ac:dyDescent="0.25">
      <c r="F52" s="20"/>
    </row>
    <row r="53" spans="4:6" x14ac:dyDescent="0.25">
      <c r="D53" s="25"/>
    </row>
  </sheetData>
  <mergeCells count="1">
    <mergeCell ref="A1:N1"/>
  </mergeCells>
  <phoneticPr fontId="4" type="noConversion"/>
  <pageMargins left="0.19685039370078741" right="0.19685039370078741" top="0.19685039370078741" bottom="0.19685039370078741" header="0.51181102362204722" footer="0.51181102362204722"/>
  <pageSetup paperSize="9" scale="5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2024-03-06T07:59:54Z</cp:lastPrinted>
  <dcterms:created xsi:type="dcterms:W3CDTF">2011-06-06T03:25:48Z</dcterms:created>
  <dcterms:modified xsi:type="dcterms:W3CDTF">2024-03-06T08:06:26Z</dcterms:modified>
</cp:coreProperties>
</file>