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6" windowWidth="16152" windowHeight="10992"/>
  </bookViews>
  <sheets>
    <sheet name="2022" sheetId="1" r:id="rId1"/>
  </sheets>
  <calcPr calcId="144525" refMode="R1C1"/>
</workbook>
</file>

<file path=xl/calcChain.xml><?xml version="1.0" encoding="utf-8"?>
<calcChain xmlns="http://schemas.openxmlformats.org/spreadsheetml/2006/main">
  <c r="M39" i="1" l="1"/>
  <c r="C38" i="1" l="1"/>
  <c r="B38" i="1"/>
  <c r="K39" i="1" l="1"/>
  <c r="L39" i="1" l="1"/>
  <c r="M28" i="1" l="1"/>
  <c r="M27" i="1"/>
  <c r="L28" i="1" l="1"/>
  <c r="L27" i="1"/>
  <c r="K28" i="1" l="1"/>
  <c r="K16" i="1"/>
  <c r="K27" i="1"/>
  <c r="K7" i="1"/>
  <c r="K34" i="1" l="1"/>
  <c r="L34" i="1"/>
  <c r="M34" i="1"/>
  <c r="K29" i="1"/>
  <c r="L29" i="1"/>
  <c r="M29" i="1"/>
  <c r="K26" i="1"/>
  <c r="L26" i="1"/>
  <c r="M26" i="1"/>
  <c r="M25" i="1"/>
  <c r="L25" i="1"/>
  <c r="K25" i="1"/>
  <c r="G39" i="1" l="1"/>
  <c r="D39" i="1"/>
  <c r="C39" i="1" l="1"/>
  <c r="J39" i="1" l="1"/>
  <c r="I39" i="1" l="1"/>
  <c r="I29" i="1" l="1"/>
  <c r="J29" i="1"/>
  <c r="H29" i="1"/>
  <c r="J28" i="1" l="1"/>
  <c r="J27" i="1"/>
  <c r="I25" i="1"/>
  <c r="J25" i="1"/>
  <c r="H25" i="1"/>
  <c r="J34" i="1" l="1"/>
  <c r="I34" i="1"/>
  <c r="H34" i="1"/>
  <c r="H26" i="1"/>
  <c r="I26" i="1"/>
  <c r="J26" i="1"/>
  <c r="C29" i="1"/>
  <c r="D29" i="1"/>
  <c r="E29" i="1"/>
  <c r="F29" i="1"/>
  <c r="G29" i="1"/>
  <c r="C26" i="1"/>
  <c r="D26" i="1"/>
  <c r="E26" i="1"/>
  <c r="F26" i="1"/>
  <c r="G26" i="1"/>
  <c r="B26" i="1"/>
  <c r="C25" i="1"/>
  <c r="D25" i="1"/>
  <c r="E25" i="1"/>
  <c r="F25" i="1"/>
  <c r="G25" i="1"/>
  <c r="B25" i="1"/>
  <c r="N8" i="1" l="1"/>
  <c r="N17" i="1"/>
  <c r="H39" i="1" l="1"/>
  <c r="I28" i="1" l="1"/>
  <c r="I27" i="1"/>
  <c r="H28" i="1" l="1"/>
  <c r="H27" i="1"/>
  <c r="F30" i="1" l="1"/>
  <c r="G28" i="1" l="1"/>
  <c r="G27" i="1"/>
  <c r="E39" i="1" l="1"/>
  <c r="F28" i="1" l="1"/>
  <c r="F27" i="1"/>
  <c r="E28" i="1" l="1"/>
  <c r="E27" i="1"/>
  <c r="E34" i="1" l="1"/>
  <c r="F34" i="1"/>
  <c r="G34" i="1"/>
  <c r="D30" i="1" l="1"/>
  <c r="C30" i="1"/>
  <c r="D28" i="1" l="1"/>
  <c r="D27" i="1"/>
  <c r="C34" i="1"/>
  <c r="D34" i="1"/>
  <c r="B34" i="1"/>
  <c r="B29" i="1"/>
  <c r="B36" i="1" l="1"/>
  <c r="B39" i="1" l="1"/>
  <c r="C28" i="1" l="1"/>
  <c r="C27" i="1"/>
  <c r="B28" i="1" l="1"/>
  <c r="B16" i="1"/>
  <c r="B27" i="1"/>
  <c r="N18" i="1" l="1"/>
  <c r="N19" i="1"/>
  <c r="N20" i="1"/>
  <c r="N21" i="1"/>
  <c r="N22" i="1"/>
  <c r="N23" i="1"/>
  <c r="N31" i="1"/>
  <c r="N32" i="1"/>
  <c r="N33" i="1"/>
  <c r="N35" i="1"/>
  <c r="N36" i="1"/>
  <c r="N37" i="1"/>
  <c r="N38" i="1"/>
  <c r="N30" i="1"/>
  <c r="N9" i="1" l="1"/>
  <c r="N10" i="1"/>
  <c r="N11" i="1"/>
  <c r="N12" i="1"/>
  <c r="N13" i="1"/>
  <c r="N14" i="1"/>
  <c r="N39" i="1" l="1"/>
  <c r="N29" i="1" l="1"/>
  <c r="N28" i="1" l="1"/>
  <c r="N16" i="1"/>
  <c r="N27" i="1"/>
  <c r="N7" i="1"/>
  <c r="N5" i="1" l="1"/>
  <c r="N4" i="1"/>
  <c r="C15" i="1" l="1"/>
  <c r="C40" i="1" s="1"/>
  <c r="C41" i="1" s="1"/>
  <c r="D15" i="1"/>
  <c r="D40" i="1" s="1"/>
  <c r="D41" i="1" s="1"/>
  <c r="B15" i="1"/>
  <c r="C6" i="1"/>
  <c r="D6" i="1"/>
  <c r="B6" i="1"/>
  <c r="N34" i="1"/>
  <c r="N26" i="1"/>
  <c r="B43" i="1" l="1"/>
  <c r="C5" i="1" s="1"/>
  <c r="B40" i="1"/>
  <c r="B41" i="1" s="1"/>
  <c r="B42" i="1" s="1"/>
  <c r="C4" i="1" s="1"/>
  <c r="C42" i="1" s="1"/>
  <c r="D4" i="1" s="1"/>
  <c r="C43" i="1" l="1"/>
  <c r="D5" i="1" s="1"/>
  <c r="D43" i="1" s="1"/>
  <c r="E5" i="1" s="1"/>
  <c r="D42" i="1"/>
  <c r="E4" i="1" s="1"/>
  <c r="E15" i="1" l="1"/>
  <c r="F6" i="1"/>
  <c r="G6" i="1"/>
  <c r="E6" i="1"/>
  <c r="E40" i="1" l="1"/>
  <c r="E43" i="1"/>
  <c r="F5" i="1" s="1"/>
  <c r="F15" i="1"/>
  <c r="G15" i="1"/>
  <c r="H15" i="1"/>
  <c r="I15" i="1"/>
  <c r="J15" i="1"/>
  <c r="K15" i="1"/>
  <c r="L15" i="1"/>
  <c r="M15" i="1"/>
  <c r="G40" i="1" l="1"/>
  <c r="G41" i="1" s="1"/>
  <c r="N15" i="1"/>
  <c r="E41" i="1"/>
  <c r="N25" i="1"/>
  <c r="E42" i="1" l="1"/>
  <c r="F4" i="1" s="1"/>
  <c r="M40" i="1"/>
  <c r="M41" i="1" s="1"/>
  <c r="L6" i="1"/>
  <c r="L40" i="1"/>
  <c r="L41" i="1" s="1"/>
  <c r="K6" i="1"/>
  <c r="M6" i="1"/>
  <c r="K40" i="1" l="1"/>
  <c r="K41" i="1" s="1"/>
  <c r="J6" i="1"/>
  <c r="I6" i="1"/>
  <c r="H40" i="1"/>
  <c r="H41" i="1" s="1"/>
  <c r="H6" i="1"/>
  <c r="N6" i="1" l="1"/>
  <c r="N43" i="1" s="1"/>
  <c r="I40" i="1"/>
  <c r="I41" i="1" s="1"/>
  <c r="J40" i="1"/>
  <c r="J41" i="1" s="1"/>
  <c r="F40" i="1" l="1"/>
  <c r="F41" i="1" l="1"/>
  <c r="F42" i="1" s="1"/>
  <c r="G4" i="1" s="1"/>
  <c r="N40" i="1"/>
  <c r="F43" i="1"/>
  <c r="G5" i="1" s="1"/>
  <c r="N41" i="1" l="1"/>
  <c r="N42" i="1" s="1"/>
  <c r="G43" i="1" l="1"/>
  <c r="H5" i="1" s="1"/>
  <c r="H43" i="1" l="1"/>
  <c r="I5" i="1" s="1"/>
  <c r="G42" i="1" l="1"/>
  <c r="H4" i="1" s="1"/>
  <c r="I43" i="1" l="1"/>
  <c r="J5" i="1" s="1"/>
  <c r="H42" i="1"/>
  <c r="I4" i="1" s="1"/>
  <c r="J43" i="1" l="1"/>
  <c r="K5" i="1" s="1"/>
  <c r="I42" i="1" l="1"/>
  <c r="J4" i="1" s="1"/>
  <c r="K43" i="1"/>
  <c r="L5" i="1" s="1"/>
  <c r="J42" i="1" l="1"/>
  <c r="K4" i="1" s="1"/>
  <c r="L43" i="1"/>
  <c r="M5" i="1" s="1"/>
  <c r="M43" i="1" l="1"/>
  <c r="K42" i="1"/>
  <c r="L4" i="1" s="1"/>
  <c r="L42" i="1" l="1"/>
  <c r="M4" i="1" s="1"/>
  <c r="M42" i="1" l="1"/>
</calcChain>
</file>

<file path=xl/sharedStrings.xml><?xml version="1.0" encoding="utf-8"?>
<sst xmlns="http://schemas.openxmlformats.org/spreadsheetml/2006/main" count="56" uniqueCount="46">
  <si>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</si>
  <si>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</si>
  <si>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</si>
  <si>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</si>
  <si>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</si>
  <si>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</si>
  <si>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</si>
  <si>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</si>
  <si>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</si>
  <si>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</si>
  <si>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</si>
  <si>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</si>
  <si>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</si>
  <si>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</si>
  <si>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</si>
  <si>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</si>
  <si>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</si>
  <si>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</si>
  <si>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</si>
  <si>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</si>
  <si>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</si>
  <si>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</si>
  <si>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</si>
  <si>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Доход от использования общего имущества</t>
  </si>
  <si>
    <t>Комплексное обслуживание лифтов</t>
  </si>
  <si>
    <t>Отведение сточных вод на ОИ</t>
  </si>
  <si>
    <t xml:space="preserve">                       ООО "УК "Авангард"</t>
  </si>
  <si>
    <t>Периодическое техническое освидетельствование лифтов</t>
  </si>
  <si>
    <t>Содержание жилья и текущий ремонт,  ОПУ</t>
  </si>
  <si>
    <t>Тех.обслуживание приборов учета</t>
  </si>
  <si>
    <t>Январь 2022г.</t>
  </si>
  <si>
    <t>Февраль 2022г.</t>
  </si>
  <si>
    <t>Март 2022г.</t>
  </si>
  <si>
    <t>Апрель 2022г.</t>
  </si>
  <si>
    <t>Май 2022г.</t>
  </si>
  <si>
    <t>Июнь 2022г.</t>
  </si>
  <si>
    <t>Июль 2022г.</t>
  </si>
  <si>
    <t>Август 2022г.</t>
  </si>
  <si>
    <t>Сентябрь 2022г.</t>
  </si>
  <si>
    <t>Октябрь 2022г.</t>
  </si>
  <si>
    <t>Ноябрь 2022г.</t>
  </si>
  <si>
    <t>Декабрь 2022г.</t>
  </si>
  <si>
    <t>Всего:                       за  2022г.</t>
  </si>
  <si>
    <t>Содержание жилья и текущий ремонт /нежилые</t>
  </si>
  <si>
    <t xml:space="preserve">       ОТЧЕТ по дому Ударная, 83/1 за период с 01.01.2022г. по 31.12.2022г.</t>
  </si>
  <si>
    <t>Возмещение расходов совета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</si>
</sst>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0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b/>
      <sz val="18"/>
      <name val="Times New Roman"/>
      <family val="1"/>
      <charset val="204"/>
    </font>
    <font>
      <sz val="18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0" fillId="0" borderId="0" xfId="0" applyAlignment="1">
      <alignment vertical="top"/>
    </xf>
    <xf numFmtId="164" fontId="7" fillId="2" borderId="4" xfId="0" applyNumberFormat="1" applyFont="1" applyFill="1" applyBorder="1" applyAlignment="1">
      <alignment horizontal="left" vertical="top" wrapText="1"/>
    </xf>
    <xf numFmtId="164" fontId="7" fillId="3" borderId="4" xfId="0" applyNumberFormat="1" applyFont="1" applyFill="1" applyBorder="1" applyAlignment="1">
      <alignment horizontal="left" vertical="top" wrapText="1"/>
    </xf>
    <xf numFmtId="164" fontId="6" fillId="0" borderId="4" xfId="0" applyNumberFormat="1" applyFont="1" applyBorder="1" applyAlignment="1">
      <alignment horizontal="left" vertical="top" wrapText="1"/>
    </xf>
    <xf numFmtId="164" fontId="7" fillId="4" borderId="4" xfId="0" applyNumberFormat="1" applyFont="1" applyFill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 wrapText="1"/>
    </xf>
    <xf numFmtId="164" fontId="6" fillId="0" borderId="2" xfId="0" applyNumberFormat="1" applyFont="1" applyBorder="1" applyAlignment="1">
      <alignment horizontal="left" vertical="top" wrapText="1"/>
    </xf>
    <xf numFmtId="164" fontId="6" fillId="0" borderId="6" xfId="0" applyNumberFormat="1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/>
    </xf>
    <xf numFmtId="164" fontId="6" fillId="0" borderId="4" xfId="0" applyNumberFormat="1" applyFont="1" applyBorder="1" applyAlignment="1">
      <alignment horizontal="left" vertical="top"/>
    </xf>
    <xf numFmtId="164" fontId="6" fillId="0" borderId="4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center"/>
    </xf>
    <xf numFmtId="0" fontId="9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tabSelected="1" topLeftCell="A28" zoomScale="75" workbookViewId="0">
      <selection activeCell="A34" sqref="A34"/>
    </sheetView>
  </sheetViews>
  <sheetFormatPr defaultRowHeight="13.2" x14ac:dyDescent="0.25"/>
  <cols>
    <col min="1" max="1" width="58.6640625" customWidth="1"/>
    <col min="2" max="2" width="14.33203125" customWidth="1"/>
    <col min="3" max="6" width="14.109375" customWidth="1"/>
    <col min="7" max="7" width="16.77734375" customWidth="1"/>
    <col min="8" max="8" width="15" customWidth="1"/>
    <col min="9" max="9" width="15.6640625" customWidth="1"/>
    <col min="10" max="13" width="16.5546875" customWidth="1"/>
    <col min="14" max="14" width="15.88671875" customWidth="1"/>
  </cols>
  <sheetData>
    <row r="1" spans="1:20" ht="20.399999999999999" x14ac:dyDescent="0.35">
      <c r="A1" s="22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20" ht="20.25" customHeight="1" thickBot="1" x14ac:dyDescent="0.45">
      <c r="A2" s="24" t="s">
        <v>44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20" ht="38.25" customHeight="1" thickBot="1" x14ac:dyDescent="0.3">
      <c r="A3" s="1" t="s">
        <v>0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39</v>
      </c>
      <c r="L3" s="2" t="s">
        <v>40</v>
      </c>
      <c r="M3" s="2" t="s">
        <v>41</v>
      </c>
      <c r="N3" s="2" t="s">
        <v>42</v>
      </c>
    </row>
    <row r="4" spans="1:20" ht="23.25" customHeight="1" thickBot="1" x14ac:dyDescent="0.3">
      <c r="A4" s="3" t="s">
        <v>14</v>
      </c>
      <c r="B4" s="10">
        <v>62196.95</v>
      </c>
      <c r="C4" s="10">
        <f>B42</f>
        <v>56211.778190000026</v>
      </c>
      <c r="D4" s="10">
        <f t="shared" ref="D4:M5" si="0">C42</f>
        <v>59854.458320000049</v>
      </c>
      <c r="E4" s="10">
        <f t="shared" si="0"/>
        <v>46639.78683000007</v>
      </c>
      <c r="F4" s="10">
        <f t="shared" si="0"/>
        <v>60396.143870000073</v>
      </c>
      <c r="G4" s="10">
        <f t="shared" si="0"/>
        <v>86109.421550000072</v>
      </c>
      <c r="H4" s="10">
        <f t="shared" si="0"/>
        <v>101124.45422000009</v>
      </c>
      <c r="I4" s="10">
        <f t="shared" si="0"/>
        <v>109160.70275000011</v>
      </c>
      <c r="J4" s="10">
        <f t="shared" si="0"/>
        <v>114819.16962000012</v>
      </c>
      <c r="K4" s="10">
        <f t="shared" si="0"/>
        <v>136984.64379000012</v>
      </c>
      <c r="L4" s="10">
        <f t="shared" si="0"/>
        <v>162908.66006000014</v>
      </c>
      <c r="M4" s="10">
        <f t="shared" si="0"/>
        <v>181031.48439000014</v>
      </c>
      <c r="N4" s="10">
        <f>B4</f>
        <v>62196.95</v>
      </c>
    </row>
    <row r="5" spans="1:20" ht="21" customHeight="1" thickBot="1" x14ac:dyDescent="0.3">
      <c r="A5" s="3" t="s">
        <v>13</v>
      </c>
      <c r="B5" s="10">
        <v>-135951.48000000001</v>
      </c>
      <c r="C5" s="10">
        <f t="shared" ref="C5" si="1">B43</f>
        <v>-127099.93</v>
      </c>
      <c r="D5" s="10">
        <f t="shared" si="0"/>
        <v>-128508.84999999998</v>
      </c>
      <c r="E5" s="10">
        <f t="shared" si="0"/>
        <v>-133274.89999999997</v>
      </c>
      <c r="F5" s="10">
        <f t="shared" si="0"/>
        <v>-143473.81999999995</v>
      </c>
      <c r="G5" s="10">
        <f t="shared" si="0"/>
        <v>-134278.75999999995</v>
      </c>
      <c r="H5" s="10">
        <f t="shared" si="0"/>
        <v>-137077.43999999994</v>
      </c>
      <c r="I5" s="10">
        <f t="shared" si="0"/>
        <v>-140525.85999999993</v>
      </c>
      <c r="J5" s="10">
        <f t="shared" si="0"/>
        <v>-157359.25999999992</v>
      </c>
      <c r="K5" s="10">
        <f t="shared" si="0"/>
        <v>-156541.55999999994</v>
      </c>
      <c r="L5" s="10">
        <f t="shared" si="0"/>
        <v>-156089.26999999993</v>
      </c>
      <c r="M5" s="10">
        <f t="shared" si="0"/>
        <v>-164514.12999999995</v>
      </c>
      <c r="N5" s="10">
        <f>B5</f>
        <v>-135951.48000000001</v>
      </c>
    </row>
    <row r="6" spans="1:20" ht="20.25" customHeight="1" thickBot="1" x14ac:dyDescent="0.3">
      <c r="A6" s="4" t="s">
        <v>12</v>
      </c>
      <c r="B6" s="11">
        <f t="shared" ref="B6:M6" si="2">SUM(B7:B14)</f>
        <v>89003.98000000001</v>
      </c>
      <c r="C6" s="11">
        <f t="shared" si="2"/>
        <v>89312.7</v>
      </c>
      <c r="D6" s="11">
        <f t="shared" si="2"/>
        <v>92040.54</v>
      </c>
      <c r="E6" s="11">
        <f t="shared" si="2"/>
        <v>97638.23</v>
      </c>
      <c r="F6" s="11">
        <f t="shared" si="2"/>
        <v>90445.41</v>
      </c>
      <c r="G6" s="11">
        <f t="shared" si="2"/>
        <v>92312.41</v>
      </c>
      <c r="H6" s="11">
        <f t="shared" si="2"/>
        <v>90548.19</v>
      </c>
      <c r="I6" s="11">
        <f t="shared" si="2"/>
        <v>107594.20999999999</v>
      </c>
      <c r="J6" s="11">
        <f t="shared" si="2"/>
        <v>103719.11</v>
      </c>
      <c r="K6" s="11">
        <f t="shared" si="2"/>
        <v>107502.51</v>
      </c>
      <c r="L6" s="11">
        <f t="shared" si="2"/>
        <v>108329.99</v>
      </c>
      <c r="M6" s="11">
        <f t="shared" si="2"/>
        <v>109424.19</v>
      </c>
      <c r="N6" s="11">
        <f>SUM(B6:M6)</f>
        <v>1177871.47</v>
      </c>
    </row>
    <row r="7" spans="1:20" ht="24.75" customHeight="1" thickBot="1" x14ac:dyDescent="0.3">
      <c r="A7" s="8" t="s">
        <v>28</v>
      </c>
      <c r="B7" s="12">
        <v>80979.55</v>
      </c>
      <c r="C7" s="12">
        <v>80983.72</v>
      </c>
      <c r="D7" s="12">
        <v>80904.490000000005</v>
      </c>
      <c r="E7" s="12">
        <v>80904.490000000005</v>
      </c>
      <c r="F7" s="12">
        <v>82224.3</v>
      </c>
      <c r="G7" s="12">
        <v>82224.3</v>
      </c>
      <c r="H7" s="12">
        <v>82224.3</v>
      </c>
      <c r="I7" s="12">
        <v>98668.9</v>
      </c>
      <c r="J7" s="12">
        <v>98668.9</v>
      </c>
      <c r="K7" s="12">
        <f>98668.9</f>
        <v>98668.9</v>
      </c>
      <c r="L7" s="12">
        <v>98608.86</v>
      </c>
      <c r="M7" s="12">
        <v>98548.82</v>
      </c>
      <c r="N7" s="12">
        <f>SUM(B7:M7)</f>
        <v>1063609.53</v>
      </c>
    </row>
    <row r="8" spans="1:20" ht="24.75" customHeight="1" thickBot="1" x14ac:dyDescent="0.3">
      <c r="A8" s="8" t="s">
        <v>43</v>
      </c>
      <c r="B8" s="12">
        <v>1319.81</v>
      </c>
      <c r="C8" s="12">
        <v>1319.81</v>
      </c>
      <c r="D8" s="12">
        <v>1319.81</v>
      </c>
      <c r="E8" s="12">
        <v>1319.81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f>SUM(B8:M8)</f>
        <v>5279.24</v>
      </c>
    </row>
    <row r="9" spans="1:20" ht="24.75" customHeight="1" thickBot="1" x14ac:dyDescent="0.3">
      <c r="A9" s="8" t="s">
        <v>15</v>
      </c>
      <c r="B9" s="12">
        <v>0</v>
      </c>
      <c r="C9" s="12">
        <v>0</v>
      </c>
      <c r="D9" s="12">
        <v>47.17</v>
      </c>
      <c r="E9" s="12">
        <v>2921.81</v>
      </c>
      <c r="F9" s="12">
        <v>0</v>
      </c>
      <c r="G9" s="12">
        <v>2171.56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f t="shared" ref="N9:N14" si="3">SUM(B9:M9)</f>
        <v>5140.54</v>
      </c>
    </row>
    <row r="10" spans="1:20" ht="21.75" customHeight="1" thickBot="1" x14ac:dyDescent="0.3">
      <c r="A10" s="8" t="s">
        <v>16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f t="shared" si="3"/>
        <v>0</v>
      </c>
    </row>
    <row r="11" spans="1:20" ht="22.5" customHeight="1" thickBot="1" x14ac:dyDescent="0.3">
      <c r="A11" s="8" t="s">
        <v>17</v>
      </c>
      <c r="B11" s="12">
        <v>1721.3</v>
      </c>
      <c r="C11" s="12">
        <v>2025.83</v>
      </c>
      <c r="D11" s="12">
        <v>4785.76</v>
      </c>
      <c r="E11" s="12">
        <v>7508.81</v>
      </c>
      <c r="F11" s="12">
        <v>2998.36</v>
      </c>
      <c r="G11" s="12">
        <v>2866.34</v>
      </c>
      <c r="H11" s="12">
        <v>3273.68</v>
      </c>
      <c r="I11" s="12">
        <v>4305.3100000000004</v>
      </c>
      <c r="J11" s="12">
        <v>0</v>
      </c>
      <c r="K11" s="12">
        <v>3783.4</v>
      </c>
      <c r="L11" s="12">
        <v>4671.0600000000004</v>
      </c>
      <c r="M11" s="12">
        <v>5688.26</v>
      </c>
      <c r="N11" s="12">
        <f t="shared" si="3"/>
        <v>43628.11</v>
      </c>
    </row>
    <row r="12" spans="1:20" ht="22.5" customHeight="1" thickBot="1" x14ac:dyDescent="0.3">
      <c r="A12" s="8" t="s">
        <v>25</v>
      </c>
      <c r="B12" s="12">
        <v>423.32</v>
      </c>
      <c r="C12" s="12">
        <v>423.34</v>
      </c>
      <c r="D12" s="12">
        <v>423.31</v>
      </c>
      <c r="E12" s="12">
        <v>423.31</v>
      </c>
      <c r="F12" s="12">
        <v>602.75</v>
      </c>
      <c r="G12" s="12">
        <v>430.21</v>
      </c>
      <c r="H12" s="12">
        <v>430.21</v>
      </c>
      <c r="I12" s="12">
        <v>0</v>
      </c>
      <c r="J12" s="12">
        <v>430.21</v>
      </c>
      <c r="K12" s="12">
        <v>430.21</v>
      </c>
      <c r="L12" s="12">
        <v>430.07</v>
      </c>
      <c r="M12" s="12">
        <v>567.11</v>
      </c>
      <c r="N12" s="12">
        <f t="shared" si="3"/>
        <v>5014.0499999999993</v>
      </c>
    </row>
    <row r="13" spans="1:20" ht="22.5" customHeight="1" thickBot="1" x14ac:dyDescent="0.3">
      <c r="A13" s="8" t="s">
        <v>45</v>
      </c>
      <c r="B13" s="12">
        <v>4260</v>
      </c>
      <c r="C13" s="12">
        <v>4260</v>
      </c>
      <c r="D13" s="12">
        <v>4260</v>
      </c>
      <c r="E13" s="12">
        <v>4260</v>
      </c>
      <c r="F13" s="12">
        <v>4320</v>
      </c>
      <c r="G13" s="12">
        <v>4320</v>
      </c>
      <c r="H13" s="12">
        <v>4320</v>
      </c>
      <c r="I13" s="12">
        <v>4320</v>
      </c>
      <c r="J13" s="12">
        <v>4320</v>
      </c>
      <c r="K13" s="12">
        <v>4320</v>
      </c>
      <c r="L13" s="12">
        <v>4320</v>
      </c>
      <c r="M13" s="12">
        <v>4320</v>
      </c>
      <c r="N13" s="12">
        <f t="shared" si="3"/>
        <v>51600</v>
      </c>
    </row>
    <row r="14" spans="1:20" ht="22.5" customHeight="1" thickBot="1" x14ac:dyDescent="0.3">
      <c r="A14" s="8" t="s">
        <v>23</v>
      </c>
      <c r="B14" s="12">
        <v>300</v>
      </c>
      <c r="C14" s="12">
        <v>300</v>
      </c>
      <c r="D14" s="12">
        <v>300</v>
      </c>
      <c r="E14" s="12">
        <v>300</v>
      </c>
      <c r="F14" s="12">
        <v>300</v>
      </c>
      <c r="G14" s="12">
        <v>300</v>
      </c>
      <c r="H14" s="12">
        <v>300</v>
      </c>
      <c r="I14" s="12">
        <v>300</v>
      </c>
      <c r="J14" s="12">
        <v>300</v>
      </c>
      <c r="K14" s="12">
        <v>300</v>
      </c>
      <c r="L14" s="12">
        <v>300</v>
      </c>
      <c r="M14" s="12">
        <v>300</v>
      </c>
      <c r="N14" s="12">
        <f t="shared" si="3"/>
        <v>3600</v>
      </c>
    </row>
    <row r="15" spans="1:20" ht="20.25" customHeight="1" thickBot="1" x14ac:dyDescent="0.3">
      <c r="A15" s="6" t="s">
        <v>8</v>
      </c>
      <c r="B15" s="13">
        <f t="shared" ref="B15:M15" si="4">SUM(B16:B23)</f>
        <v>97855.530000000028</v>
      </c>
      <c r="C15" s="13">
        <f t="shared" si="4"/>
        <v>87903.780000000013</v>
      </c>
      <c r="D15" s="13">
        <f t="shared" si="4"/>
        <v>87274.49000000002</v>
      </c>
      <c r="E15" s="13">
        <f t="shared" si="4"/>
        <v>87439.31</v>
      </c>
      <c r="F15" s="13">
        <f t="shared" si="4"/>
        <v>99640.47</v>
      </c>
      <c r="G15" s="13">
        <f t="shared" si="4"/>
        <v>89513.73000000001</v>
      </c>
      <c r="H15" s="13">
        <f t="shared" si="4"/>
        <v>87099.770000000019</v>
      </c>
      <c r="I15" s="13">
        <f t="shared" si="4"/>
        <v>90760.81</v>
      </c>
      <c r="J15" s="13">
        <f t="shared" si="4"/>
        <v>104536.81</v>
      </c>
      <c r="K15" s="13">
        <f t="shared" si="4"/>
        <v>107954.8</v>
      </c>
      <c r="L15" s="13">
        <f t="shared" si="4"/>
        <v>99905.13</v>
      </c>
      <c r="M15" s="13">
        <f t="shared" si="4"/>
        <v>104962.22</v>
      </c>
      <c r="N15" s="13">
        <f>SUM(B15:M15)</f>
        <v>1144846.8500000003</v>
      </c>
      <c r="T15" s="9"/>
    </row>
    <row r="16" spans="1:20" ht="24" customHeight="1" thickBot="1" x14ac:dyDescent="0.3">
      <c r="A16" s="8" t="s">
        <v>28</v>
      </c>
      <c r="B16" s="12">
        <f>84881.02+337.44</f>
        <v>85218.46</v>
      </c>
      <c r="C16" s="12">
        <v>81251.44</v>
      </c>
      <c r="D16" s="12">
        <v>80404.710000000006</v>
      </c>
      <c r="E16" s="12">
        <v>78031.58</v>
      </c>
      <c r="F16" s="12">
        <v>84138.94</v>
      </c>
      <c r="G16" s="12">
        <v>82378.19</v>
      </c>
      <c r="H16" s="12">
        <v>77507.92</v>
      </c>
      <c r="I16" s="12">
        <v>82512.59</v>
      </c>
      <c r="J16" s="12">
        <v>95839.42</v>
      </c>
      <c r="K16" s="12">
        <f>102511.05</f>
        <v>102511.05</v>
      </c>
      <c r="L16" s="12">
        <v>91727.89</v>
      </c>
      <c r="M16" s="12">
        <v>95555.53</v>
      </c>
      <c r="N16" s="12">
        <f>SUM(B16:M16)</f>
        <v>1037077.7200000002</v>
      </c>
    </row>
    <row r="17" spans="1:14" ht="24" customHeight="1" thickBot="1" x14ac:dyDescent="0.3">
      <c r="A17" s="8" t="s">
        <v>43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f>SUM(B17:M17)</f>
        <v>0</v>
      </c>
    </row>
    <row r="18" spans="1:14" ht="26.25" customHeight="1" thickBot="1" x14ac:dyDescent="0.3">
      <c r="A18" s="8" t="s">
        <v>15</v>
      </c>
      <c r="B18" s="12">
        <v>618.24</v>
      </c>
      <c r="C18" s="12">
        <v>50.2</v>
      </c>
      <c r="D18" s="12">
        <v>19.27</v>
      </c>
      <c r="E18" s="12">
        <v>45.18</v>
      </c>
      <c r="F18" s="12">
        <v>2523.29</v>
      </c>
      <c r="G18" s="12">
        <v>146.69</v>
      </c>
      <c r="H18" s="12">
        <v>2031.63</v>
      </c>
      <c r="I18" s="12">
        <v>76.66</v>
      </c>
      <c r="J18" s="12">
        <v>14.32</v>
      </c>
      <c r="K18" s="12">
        <v>14.09</v>
      </c>
      <c r="L18" s="12">
        <v>0</v>
      </c>
      <c r="M18" s="12">
        <v>0</v>
      </c>
      <c r="N18" s="12">
        <f t="shared" ref="N18:N23" si="5">SUM(B18:M18)</f>
        <v>5539.57</v>
      </c>
    </row>
    <row r="19" spans="1:14" ht="26.25" customHeight="1" thickBot="1" x14ac:dyDescent="0.3">
      <c r="A19" s="8" t="s">
        <v>16</v>
      </c>
      <c r="B19" s="12">
        <v>63.46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f t="shared" si="5"/>
        <v>63.46</v>
      </c>
    </row>
    <row r="20" spans="1:14" ht="24" customHeight="1" thickBot="1" x14ac:dyDescent="0.3">
      <c r="A20" s="8" t="s">
        <v>17</v>
      </c>
      <c r="B20" s="14">
        <v>5671.49</v>
      </c>
      <c r="C20" s="15">
        <v>1826.82</v>
      </c>
      <c r="D20" s="15">
        <v>2027.49</v>
      </c>
      <c r="E20" s="15">
        <v>4596.7700000000004</v>
      </c>
      <c r="F20" s="15">
        <v>7548.93</v>
      </c>
      <c r="G20" s="15">
        <v>1960.97</v>
      </c>
      <c r="H20" s="12">
        <v>2686.35</v>
      </c>
      <c r="I20" s="12">
        <v>3213.44</v>
      </c>
      <c r="J20" s="12">
        <v>4170.8999999999996</v>
      </c>
      <c r="K20" s="12">
        <v>226.35</v>
      </c>
      <c r="L20" s="12">
        <v>3517.28</v>
      </c>
      <c r="M20" s="12">
        <v>4489.95</v>
      </c>
      <c r="N20" s="12">
        <f t="shared" si="5"/>
        <v>41936.739999999991</v>
      </c>
    </row>
    <row r="21" spans="1:14" ht="24" customHeight="1" thickBot="1" x14ac:dyDescent="0.3">
      <c r="A21" s="8" t="s">
        <v>25</v>
      </c>
      <c r="B21" s="16">
        <v>671.07</v>
      </c>
      <c r="C21" s="16">
        <v>425.35</v>
      </c>
      <c r="D21" s="16">
        <v>420.52</v>
      </c>
      <c r="E21" s="16">
        <v>408.28</v>
      </c>
      <c r="F21" s="16">
        <v>440.5</v>
      </c>
      <c r="G21" s="16">
        <v>437.31</v>
      </c>
      <c r="H21" s="14">
        <v>404.44</v>
      </c>
      <c r="I21" s="15">
        <v>428.12</v>
      </c>
      <c r="J21" s="15">
        <v>11.42</v>
      </c>
      <c r="K21" s="12">
        <v>434.06</v>
      </c>
      <c r="L21" s="12">
        <v>399.96</v>
      </c>
      <c r="M21" s="12">
        <v>416.74</v>
      </c>
      <c r="N21" s="12">
        <f t="shared" si="5"/>
        <v>4897.7699999999995</v>
      </c>
    </row>
    <row r="22" spans="1:14" ht="24" customHeight="1" thickBot="1" x14ac:dyDescent="0.3">
      <c r="A22" s="8" t="s">
        <v>45</v>
      </c>
      <c r="B22" s="14">
        <v>5312.81</v>
      </c>
      <c r="C22" s="15">
        <v>4049.97</v>
      </c>
      <c r="D22" s="15">
        <v>4102.5</v>
      </c>
      <c r="E22" s="14">
        <v>4057.5</v>
      </c>
      <c r="F22" s="15">
        <v>4688.8100000000004</v>
      </c>
      <c r="G22" s="15">
        <v>4290.57</v>
      </c>
      <c r="H22" s="12">
        <v>4169.43</v>
      </c>
      <c r="I22" s="12">
        <v>4230</v>
      </c>
      <c r="J22" s="12">
        <v>4200.75</v>
      </c>
      <c r="K22" s="12">
        <v>4469.25</v>
      </c>
      <c r="L22" s="12">
        <v>3960</v>
      </c>
      <c r="M22" s="12">
        <v>4200</v>
      </c>
      <c r="N22" s="12">
        <f t="shared" si="5"/>
        <v>51731.59</v>
      </c>
    </row>
    <row r="23" spans="1:14" ht="24" customHeight="1" thickBot="1" x14ac:dyDescent="0.3">
      <c r="A23" s="8" t="s">
        <v>23</v>
      </c>
      <c r="B23" s="14">
        <v>300</v>
      </c>
      <c r="C23" s="14">
        <v>300</v>
      </c>
      <c r="D23" s="14">
        <v>300</v>
      </c>
      <c r="E23" s="14">
        <v>300</v>
      </c>
      <c r="F23" s="14">
        <v>300</v>
      </c>
      <c r="G23" s="14">
        <v>300</v>
      </c>
      <c r="H23" s="14">
        <v>300</v>
      </c>
      <c r="I23" s="14">
        <v>300</v>
      </c>
      <c r="J23" s="14">
        <v>300</v>
      </c>
      <c r="K23" s="14">
        <v>300</v>
      </c>
      <c r="L23" s="14">
        <v>300</v>
      </c>
      <c r="M23" s="14">
        <v>300</v>
      </c>
      <c r="N23" s="12">
        <f t="shared" si="5"/>
        <v>3600</v>
      </c>
    </row>
    <row r="24" spans="1:14" ht="21.75" customHeight="1" thickBot="1" x14ac:dyDescent="0.3">
      <c r="A24" s="7" t="s">
        <v>22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8"/>
    </row>
    <row r="25" spans="1:14" ht="19.5" customHeight="1" thickBot="1" x14ac:dyDescent="0.3">
      <c r="A25" s="8" t="s">
        <v>1</v>
      </c>
      <c r="B25" s="21">
        <f>3943.6*0.55</f>
        <v>2168.98</v>
      </c>
      <c r="C25" s="21">
        <f t="shared" ref="C25:G25" si="6">3943.6*0.55</f>
        <v>2168.98</v>
      </c>
      <c r="D25" s="21">
        <f t="shared" si="6"/>
        <v>2168.98</v>
      </c>
      <c r="E25" s="21">
        <f t="shared" si="6"/>
        <v>2168.98</v>
      </c>
      <c r="F25" s="21">
        <f t="shared" si="6"/>
        <v>2168.98</v>
      </c>
      <c r="G25" s="21">
        <f t="shared" si="6"/>
        <v>2168.98</v>
      </c>
      <c r="H25" s="21">
        <f>3943.6*0.55</f>
        <v>2168.98</v>
      </c>
      <c r="I25" s="21">
        <f t="shared" ref="I25:K25" si="7">3943.6*0.55</f>
        <v>2168.98</v>
      </c>
      <c r="J25" s="21">
        <f t="shared" si="7"/>
        <v>2168.98</v>
      </c>
      <c r="K25" s="21">
        <f t="shared" si="7"/>
        <v>2168.98</v>
      </c>
      <c r="L25" s="21">
        <f>3943.6*0.6</f>
        <v>2366.16</v>
      </c>
      <c r="M25" s="21">
        <f>3943.6*0.6</f>
        <v>2366.16</v>
      </c>
      <c r="N25" s="12">
        <f t="shared" ref="N25" si="8">SUM(B25:M25)</f>
        <v>26422.12</v>
      </c>
    </row>
    <row r="26" spans="1:14" ht="22.5" customHeight="1" thickBot="1" x14ac:dyDescent="0.3">
      <c r="A26" s="8" t="s">
        <v>2</v>
      </c>
      <c r="B26" s="21">
        <f>3943.6*0.17</f>
        <v>670.41200000000003</v>
      </c>
      <c r="C26" s="21">
        <f t="shared" ref="C26:M26" si="9">3943.6*0.17</f>
        <v>670.41200000000003</v>
      </c>
      <c r="D26" s="21">
        <f t="shared" si="9"/>
        <v>670.41200000000003</v>
      </c>
      <c r="E26" s="21">
        <f t="shared" si="9"/>
        <v>670.41200000000003</v>
      </c>
      <c r="F26" s="21">
        <f t="shared" si="9"/>
        <v>670.41200000000003</v>
      </c>
      <c r="G26" s="21">
        <f t="shared" si="9"/>
        <v>670.41200000000003</v>
      </c>
      <c r="H26" s="21">
        <f t="shared" si="9"/>
        <v>670.41200000000003</v>
      </c>
      <c r="I26" s="21">
        <f t="shared" si="9"/>
        <v>670.41200000000003</v>
      </c>
      <c r="J26" s="21">
        <f t="shared" si="9"/>
        <v>670.41200000000003</v>
      </c>
      <c r="K26" s="21">
        <f t="shared" si="9"/>
        <v>670.41200000000003</v>
      </c>
      <c r="L26" s="21">
        <f t="shared" si="9"/>
        <v>670.41200000000003</v>
      </c>
      <c r="M26" s="21">
        <f t="shared" si="9"/>
        <v>670.41200000000003</v>
      </c>
      <c r="N26" s="12">
        <f>SUM(B26:M26)</f>
        <v>8044.9440000000022</v>
      </c>
    </row>
    <row r="27" spans="1:14" ht="21" customHeight="1" thickBot="1" x14ac:dyDescent="0.3">
      <c r="A27" s="8" t="s">
        <v>3</v>
      </c>
      <c r="B27" s="12">
        <f>87384.17*2.3%</f>
        <v>2009.83591</v>
      </c>
      <c r="C27" s="12">
        <f>87692.89*2.3%</f>
        <v>2016.9364699999999</v>
      </c>
      <c r="D27" s="12">
        <f>90420.73*2.3%</f>
        <v>2079.67679</v>
      </c>
      <c r="E27" s="12">
        <f>96018.42*2.3%</f>
        <v>2208.4236599999999</v>
      </c>
      <c r="F27" s="12">
        <f>121125.14*2.3%</f>
        <v>2785.8782200000001</v>
      </c>
      <c r="G27" s="12">
        <f>92012.41*2.3%</f>
        <v>2116.2854299999999</v>
      </c>
      <c r="H27" s="12">
        <f>90248.19*2.3%</f>
        <v>2075.7083699999998</v>
      </c>
      <c r="I27" s="12">
        <f>107294.21*2.3%</f>
        <v>2467.76683</v>
      </c>
      <c r="J27" s="12">
        <f>103419.11*2.3%</f>
        <v>2378.6395299999999</v>
      </c>
      <c r="K27" s="12">
        <f>107202.51*2.3%</f>
        <v>2465.6577299999999</v>
      </c>
      <c r="L27" s="12">
        <f>108029.99*2.3%</f>
        <v>2484.68977</v>
      </c>
      <c r="M27" s="12">
        <f>109124.19*2.3%</f>
        <v>2509.85637</v>
      </c>
      <c r="N27" s="12">
        <f t="shared" ref="N27:N39" si="10">SUM(B27:M27)</f>
        <v>27599.355080000001</v>
      </c>
    </row>
    <row r="28" spans="1:14" ht="23.25" customHeight="1" thickBot="1" x14ac:dyDescent="0.3">
      <c r="A28" s="8" t="s">
        <v>4</v>
      </c>
      <c r="B28" s="20">
        <f>97555.53*3%</f>
        <v>2926.6659</v>
      </c>
      <c r="C28" s="12">
        <f>87603.78*3%</f>
        <v>2628.1133999999997</v>
      </c>
      <c r="D28" s="19">
        <f>86974.49*3%</f>
        <v>2609.2347</v>
      </c>
      <c r="E28" s="20">
        <f>87139.31*3%</f>
        <v>2614.1792999999998</v>
      </c>
      <c r="F28" s="20">
        <f>99340.47*3%</f>
        <v>2980.2141000000001</v>
      </c>
      <c r="G28" s="20">
        <f>89213.73*3%</f>
        <v>2676.4118999999996</v>
      </c>
      <c r="H28" s="20">
        <f>86799.77*3%</f>
        <v>2603.9931000000001</v>
      </c>
      <c r="I28" s="20">
        <f>90460.81*3%</f>
        <v>2713.8242999999998</v>
      </c>
      <c r="J28" s="20">
        <f>104236.81*3%</f>
        <v>3127.1043</v>
      </c>
      <c r="K28" s="20">
        <f>107654.8*3%</f>
        <v>3229.6439999999998</v>
      </c>
      <c r="L28" s="20">
        <f>99605.13*3%</f>
        <v>2988.1539000000002</v>
      </c>
      <c r="M28" s="20">
        <f>104662.22*3%</f>
        <v>3139.8665999999998</v>
      </c>
      <c r="N28" s="12">
        <f t="shared" si="10"/>
        <v>34237.405500000001</v>
      </c>
    </row>
    <row r="29" spans="1:14" ht="23.25" customHeight="1" thickBot="1" x14ac:dyDescent="0.3">
      <c r="A29" s="5" t="s">
        <v>9</v>
      </c>
      <c r="B29" s="21">
        <f>3943.6*7.4</f>
        <v>29182.639999999999</v>
      </c>
      <c r="C29" s="21">
        <f t="shared" ref="C29:G29" si="11">3943.6*7.4</f>
        <v>29182.639999999999</v>
      </c>
      <c r="D29" s="21">
        <f t="shared" si="11"/>
        <v>29182.639999999999</v>
      </c>
      <c r="E29" s="21">
        <f t="shared" si="11"/>
        <v>29182.639999999999</v>
      </c>
      <c r="F29" s="21">
        <f t="shared" si="11"/>
        <v>29182.639999999999</v>
      </c>
      <c r="G29" s="21">
        <f t="shared" si="11"/>
        <v>29182.639999999999</v>
      </c>
      <c r="H29" s="21">
        <f>3943.6*8.5</f>
        <v>33520.6</v>
      </c>
      <c r="I29" s="21">
        <f t="shared" ref="I29:M29" si="12">3943.6*8.5</f>
        <v>33520.6</v>
      </c>
      <c r="J29" s="21">
        <f t="shared" si="12"/>
        <v>33520.6</v>
      </c>
      <c r="K29" s="21">
        <f t="shared" si="12"/>
        <v>33520.6</v>
      </c>
      <c r="L29" s="21">
        <f t="shared" si="12"/>
        <v>33520.6</v>
      </c>
      <c r="M29" s="21">
        <f t="shared" si="12"/>
        <v>33520.6</v>
      </c>
      <c r="N29" s="12">
        <f t="shared" si="10"/>
        <v>376219.43999999994</v>
      </c>
    </row>
    <row r="30" spans="1:14" ht="26.25" customHeight="1" thickBot="1" x14ac:dyDescent="0.3">
      <c r="A30" s="8" t="s">
        <v>18</v>
      </c>
      <c r="B30" s="12">
        <v>0</v>
      </c>
      <c r="C30" s="12">
        <f>36.01+11.19</f>
        <v>47.199999999999996</v>
      </c>
      <c r="D30" s="12">
        <f>2921.83+0</f>
        <v>2921.83</v>
      </c>
      <c r="E30" s="12">
        <v>0</v>
      </c>
      <c r="F30" s="12">
        <f>2134.67+36.8</f>
        <v>2171.4700000000003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f t="shared" si="10"/>
        <v>5140.5</v>
      </c>
    </row>
    <row r="31" spans="1:14" ht="26.25" customHeight="1" thickBot="1" x14ac:dyDescent="0.3">
      <c r="A31" s="8" t="s">
        <v>19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f t="shared" si="10"/>
        <v>0</v>
      </c>
    </row>
    <row r="32" spans="1:14" ht="26.25" customHeight="1" thickBot="1" x14ac:dyDescent="0.3">
      <c r="A32" s="8" t="s">
        <v>20</v>
      </c>
      <c r="B32" s="12">
        <v>2025.84</v>
      </c>
      <c r="C32" s="12">
        <v>4785.6899999999996</v>
      </c>
      <c r="D32" s="12">
        <v>7508.82</v>
      </c>
      <c r="E32" s="12">
        <v>2998.39</v>
      </c>
      <c r="F32" s="12">
        <v>2866.27</v>
      </c>
      <c r="G32" s="12">
        <v>3273.64</v>
      </c>
      <c r="H32" s="12">
        <v>4305.3</v>
      </c>
      <c r="I32" s="12">
        <v>0</v>
      </c>
      <c r="J32" s="12">
        <v>3783.34</v>
      </c>
      <c r="K32" s="12">
        <v>4671.0600000000004</v>
      </c>
      <c r="L32" s="12">
        <v>5688.33</v>
      </c>
      <c r="M32" s="12">
        <v>2739</v>
      </c>
      <c r="N32" s="12">
        <f t="shared" si="10"/>
        <v>44645.68</v>
      </c>
    </row>
    <row r="33" spans="1:14" ht="23.25" customHeight="1" thickBot="1" x14ac:dyDescent="0.3">
      <c r="A33" s="8" t="s">
        <v>25</v>
      </c>
      <c r="B33" s="12">
        <v>430.14</v>
      </c>
      <c r="C33" s="12">
        <v>430.14</v>
      </c>
      <c r="D33" s="12">
        <v>430.14</v>
      </c>
      <c r="E33" s="12">
        <v>430.14</v>
      </c>
      <c r="F33" s="12">
        <v>430.14</v>
      </c>
      <c r="G33" s="12">
        <v>430.14</v>
      </c>
      <c r="H33" s="12">
        <v>430.14</v>
      </c>
      <c r="I33" s="12">
        <v>430.14</v>
      </c>
      <c r="J33" s="12">
        <v>430.14</v>
      </c>
      <c r="K33" s="12">
        <v>278.20999999999998</v>
      </c>
      <c r="L33" s="12">
        <v>430.14</v>
      </c>
      <c r="M33" s="12">
        <v>567.20000000000005</v>
      </c>
      <c r="N33" s="12">
        <f t="shared" si="10"/>
        <v>5146.8099999999995</v>
      </c>
    </row>
    <row r="34" spans="1:14" ht="22.5" customHeight="1" thickBot="1" x14ac:dyDescent="0.3">
      <c r="A34" s="8" t="s">
        <v>6</v>
      </c>
      <c r="B34" s="21">
        <f>3943.6*3.13</f>
        <v>12343.467999999999</v>
      </c>
      <c r="C34" s="21">
        <f t="shared" ref="C34:H34" si="13">3943.6*3.13</f>
        <v>12343.467999999999</v>
      </c>
      <c r="D34" s="21">
        <f t="shared" si="13"/>
        <v>12343.467999999999</v>
      </c>
      <c r="E34" s="21">
        <f t="shared" si="13"/>
        <v>12343.467999999999</v>
      </c>
      <c r="F34" s="21">
        <f t="shared" si="13"/>
        <v>12343.467999999999</v>
      </c>
      <c r="G34" s="21">
        <f t="shared" si="13"/>
        <v>12343.467999999999</v>
      </c>
      <c r="H34" s="21">
        <f t="shared" si="13"/>
        <v>12343.467999999999</v>
      </c>
      <c r="I34" s="21">
        <f>3943.6*3.75</f>
        <v>14788.5</v>
      </c>
      <c r="J34" s="21">
        <f>3943.6*3.75</f>
        <v>14788.5</v>
      </c>
      <c r="K34" s="21">
        <f t="shared" ref="K34:M34" si="14">3943.6*3.75</f>
        <v>14788.5</v>
      </c>
      <c r="L34" s="21">
        <f t="shared" si="14"/>
        <v>14788.5</v>
      </c>
      <c r="M34" s="21">
        <f t="shared" si="14"/>
        <v>14788.5</v>
      </c>
      <c r="N34" s="12">
        <f t="shared" si="10"/>
        <v>160346.77599999998</v>
      </c>
    </row>
    <row r="35" spans="1:14" ht="22.5" customHeight="1" thickBot="1" x14ac:dyDescent="0.3">
      <c r="A35" s="8" t="s">
        <v>24</v>
      </c>
      <c r="B35" s="21">
        <v>12687.72</v>
      </c>
      <c r="C35" s="21">
        <v>12687.72</v>
      </c>
      <c r="D35" s="21">
        <v>12687.72</v>
      </c>
      <c r="E35" s="21">
        <v>12687.72</v>
      </c>
      <c r="F35" s="21">
        <v>12687.72</v>
      </c>
      <c r="G35" s="21">
        <v>12687.72</v>
      </c>
      <c r="H35" s="21">
        <v>12687.72</v>
      </c>
      <c r="I35" s="21">
        <v>12687.72</v>
      </c>
      <c r="J35" s="21">
        <v>12687.72</v>
      </c>
      <c r="K35" s="21">
        <v>12687.72</v>
      </c>
      <c r="L35" s="21">
        <v>12687.72</v>
      </c>
      <c r="M35" s="21">
        <v>12687.72</v>
      </c>
      <c r="N35" s="12">
        <f t="shared" si="10"/>
        <v>152252.63999999998</v>
      </c>
    </row>
    <row r="36" spans="1:14" ht="22.5" customHeight="1" thickBot="1" x14ac:dyDescent="0.3">
      <c r="A36" s="8" t="s">
        <v>27</v>
      </c>
      <c r="B36" s="12">
        <f>3615+3615</f>
        <v>7230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f t="shared" si="10"/>
        <v>7230</v>
      </c>
    </row>
    <row r="37" spans="1:14" ht="21.75" customHeight="1" thickBot="1" x14ac:dyDescent="0.3">
      <c r="A37" s="8" t="s">
        <v>45</v>
      </c>
      <c r="B37" s="12">
        <v>4860</v>
      </c>
      <c r="C37" s="12">
        <v>4065</v>
      </c>
      <c r="D37" s="12">
        <v>3780</v>
      </c>
      <c r="E37" s="12">
        <v>3945</v>
      </c>
      <c r="F37" s="12">
        <v>4440</v>
      </c>
      <c r="G37" s="12">
        <v>4000</v>
      </c>
      <c r="H37" s="12">
        <v>4011</v>
      </c>
      <c r="I37" s="12">
        <v>4000</v>
      </c>
      <c r="J37" s="12">
        <v>3870</v>
      </c>
      <c r="K37" s="12">
        <v>4140</v>
      </c>
      <c r="L37" s="12">
        <v>3890</v>
      </c>
      <c r="M37" s="12">
        <v>3750</v>
      </c>
      <c r="N37" s="12">
        <f t="shared" si="10"/>
        <v>48751</v>
      </c>
    </row>
    <row r="38" spans="1:14" ht="22.8" customHeight="1" thickBot="1" x14ac:dyDescent="0.3">
      <c r="A38" s="8" t="s">
        <v>29</v>
      </c>
      <c r="B38" s="21">
        <f>900+300</f>
        <v>1200</v>
      </c>
      <c r="C38" s="21">
        <f>900+300</f>
        <v>1200</v>
      </c>
      <c r="D38" s="21">
        <v>1200</v>
      </c>
      <c r="E38" s="21">
        <v>1200</v>
      </c>
      <c r="F38" s="21">
        <v>1200</v>
      </c>
      <c r="G38" s="21">
        <v>1200</v>
      </c>
      <c r="H38" s="21">
        <v>1200</v>
      </c>
      <c r="I38" s="21">
        <v>1200</v>
      </c>
      <c r="J38" s="21">
        <v>1200</v>
      </c>
      <c r="K38" s="21">
        <v>1200</v>
      </c>
      <c r="L38" s="21">
        <v>1200</v>
      </c>
      <c r="M38" s="21">
        <v>1200</v>
      </c>
      <c r="N38" s="12">
        <f t="shared" si="10"/>
        <v>14400</v>
      </c>
    </row>
    <row r="39" spans="1:14" ht="24" customHeight="1" thickBot="1" x14ac:dyDescent="0.3">
      <c r="A39" s="8" t="s">
        <v>10</v>
      </c>
      <c r="B39" s="12">
        <f>105+13000+13000</f>
        <v>26105</v>
      </c>
      <c r="C39" s="12">
        <f>1234.8+10800</f>
        <v>12034.8</v>
      </c>
      <c r="D39" s="12">
        <f>16081.24+6825</f>
        <v>22906.239999999998</v>
      </c>
      <c r="E39" s="12">
        <f>1645+1588.6</f>
        <v>3233.6</v>
      </c>
      <c r="F39" s="12">
        <v>0</v>
      </c>
      <c r="G39" s="12">
        <f>2149+1600</f>
        <v>3749</v>
      </c>
      <c r="H39" s="12">
        <f>170+687.6+2188.6</f>
        <v>3046.2</v>
      </c>
      <c r="I39" s="12">
        <f>3596.7+6857.7</f>
        <v>10454.4</v>
      </c>
      <c r="J39" s="12">
        <f>3093.6+397.3+85+170</f>
        <v>3745.9</v>
      </c>
      <c r="K39" s="12">
        <f>210+500+1500</f>
        <v>2210</v>
      </c>
      <c r="L39" s="12">
        <f>105+962.6</f>
        <v>1067.5999999999999</v>
      </c>
      <c r="M39" s="12">
        <f>198398+622.1</f>
        <v>199020.1</v>
      </c>
      <c r="N39" s="12">
        <f t="shared" si="10"/>
        <v>287572.83999999997</v>
      </c>
    </row>
    <row r="40" spans="1:14" ht="22.5" customHeight="1" thickBot="1" x14ac:dyDescent="0.3">
      <c r="A40" s="4" t="s">
        <v>21</v>
      </c>
      <c r="B40" s="11">
        <f t="shared" ref="B40:M40" si="15">SUM(B25:B39)</f>
        <v>103840.70181</v>
      </c>
      <c r="C40" s="11">
        <f t="shared" si="15"/>
        <v>84261.099869999991</v>
      </c>
      <c r="D40" s="11">
        <f t="shared" si="15"/>
        <v>100489.16149</v>
      </c>
      <c r="E40" s="11">
        <f t="shared" si="15"/>
        <v>73682.952959999995</v>
      </c>
      <c r="F40" s="11">
        <f t="shared" si="15"/>
        <v>73927.192320000002</v>
      </c>
      <c r="G40" s="11">
        <f t="shared" si="15"/>
        <v>74498.697329999995</v>
      </c>
      <c r="H40" s="11">
        <f t="shared" si="15"/>
        <v>79063.521469999992</v>
      </c>
      <c r="I40" s="11">
        <f t="shared" si="15"/>
        <v>85102.343129999994</v>
      </c>
      <c r="J40" s="11">
        <f t="shared" si="15"/>
        <v>82371.335829999996</v>
      </c>
      <c r="K40" s="11">
        <f t="shared" si="15"/>
        <v>82030.783729999996</v>
      </c>
      <c r="L40" s="11">
        <f t="shared" si="15"/>
        <v>81782.305670000002</v>
      </c>
      <c r="M40" s="11">
        <f t="shared" si="15"/>
        <v>276959.41496999998</v>
      </c>
      <c r="N40" s="11">
        <f>SUM(B40:M40)</f>
        <v>1198009.51058</v>
      </c>
    </row>
    <row r="41" spans="1:14" ht="23.25" customHeight="1" thickBot="1" x14ac:dyDescent="0.3">
      <c r="A41" s="5" t="s">
        <v>5</v>
      </c>
      <c r="B41" s="16">
        <f t="shared" ref="B41:N41" si="16">B15-B40</f>
        <v>-5985.1718099999707</v>
      </c>
      <c r="C41" s="16">
        <f t="shared" si="16"/>
        <v>3642.6801300000225</v>
      </c>
      <c r="D41" s="16">
        <f t="shared" si="16"/>
        <v>-13214.671489999979</v>
      </c>
      <c r="E41" s="16">
        <f t="shared" si="16"/>
        <v>13756.357040000003</v>
      </c>
      <c r="F41" s="16">
        <f t="shared" si="16"/>
        <v>25713.277679999999</v>
      </c>
      <c r="G41" s="16">
        <f t="shared" si="16"/>
        <v>15015.032670000015</v>
      </c>
      <c r="H41" s="16">
        <f t="shared" si="16"/>
        <v>8036.2485300000262</v>
      </c>
      <c r="I41" s="16">
        <f t="shared" si="16"/>
        <v>5658.4668700000038</v>
      </c>
      <c r="J41" s="16">
        <f t="shared" si="16"/>
        <v>22165.474170000001</v>
      </c>
      <c r="K41" s="16">
        <f t="shared" si="16"/>
        <v>25924.016270000007</v>
      </c>
      <c r="L41" s="16">
        <f t="shared" si="16"/>
        <v>18122.824330000003</v>
      </c>
      <c r="M41" s="16">
        <f t="shared" si="16"/>
        <v>-171997.19496999998</v>
      </c>
      <c r="N41" s="16">
        <f t="shared" si="16"/>
        <v>-53162.660579999676</v>
      </c>
    </row>
    <row r="42" spans="1:14" ht="23.25" customHeight="1" thickBot="1" x14ac:dyDescent="0.3">
      <c r="A42" s="5" t="s">
        <v>7</v>
      </c>
      <c r="B42" s="14">
        <f t="shared" ref="B42:N42" si="17">B4+B41</f>
        <v>56211.778190000026</v>
      </c>
      <c r="C42" s="14">
        <f t="shared" si="17"/>
        <v>59854.458320000049</v>
      </c>
      <c r="D42" s="14">
        <f t="shared" si="17"/>
        <v>46639.78683000007</v>
      </c>
      <c r="E42" s="14">
        <f t="shared" si="17"/>
        <v>60396.143870000073</v>
      </c>
      <c r="F42" s="14">
        <f t="shared" si="17"/>
        <v>86109.421550000072</v>
      </c>
      <c r="G42" s="14">
        <f t="shared" si="17"/>
        <v>101124.45422000009</v>
      </c>
      <c r="H42" s="14">
        <f t="shared" si="17"/>
        <v>109160.70275000011</v>
      </c>
      <c r="I42" s="14">
        <f t="shared" si="17"/>
        <v>114819.16962000012</v>
      </c>
      <c r="J42" s="14">
        <f t="shared" si="17"/>
        <v>136984.64379000012</v>
      </c>
      <c r="K42" s="14">
        <f t="shared" si="17"/>
        <v>162908.66006000014</v>
      </c>
      <c r="L42" s="14">
        <f t="shared" si="17"/>
        <v>181031.48439000014</v>
      </c>
      <c r="M42" s="14">
        <f t="shared" si="17"/>
        <v>9034.289420000161</v>
      </c>
      <c r="N42" s="14">
        <f t="shared" si="17"/>
        <v>9034.2894200003211</v>
      </c>
    </row>
    <row r="43" spans="1:14" ht="27" customHeight="1" thickBot="1" x14ac:dyDescent="0.3">
      <c r="A43" s="7" t="s">
        <v>11</v>
      </c>
      <c r="B43" s="18">
        <f t="shared" ref="B43:N43" si="18">B5+B15-B6</f>
        <v>-127099.93</v>
      </c>
      <c r="C43" s="18">
        <f t="shared" si="18"/>
        <v>-128508.84999999998</v>
      </c>
      <c r="D43" s="18">
        <f t="shared" si="18"/>
        <v>-133274.89999999997</v>
      </c>
      <c r="E43" s="18">
        <f t="shared" si="18"/>
        <v>-143473.81999999995</v>
      </c>
      <c r="F43" s="18">
        <f t="shared" si="18"/>
        <v>-134278.75999999995</v>
      </c>
      <c r="G43" s="18">
        <f t="shared" si="18"/>
        <v>-137077.43999999994</v>
      </c>
      <c r="H43" s="18">
        <f t="shared" si="18"/>
        <v>-140525.85999999993</v>
      </c>
      <c r="I43" s="18">
        <f t="shared" si="18"/>
        <v>-157359.25999999992</v>
      </c>
      <c r="J43" s="18">
        <f t="shared" si="18"/>
        <v>-156541.55999999994</v>
      </c>
      <c r="K43" s="18">
        <f t="shared" si="18"/>
        <v>-156089.26999999993</v>
      </c>
      <c r="L43" s="18">
        <f t="shared" si="18"/>
        <v>-164514.12999999995</v>
      </c>
      <c r="M43" s="18">
        <f t="shared" si="18"/>
        <v>-168976.09999999995</v>
      </c>
      <c r="N43" s="18">
        <f t="shared" si="18"/>
        <v>-168976.09999999963</v>
      </c>
    </row>
  </sheetData>
  <mergeCells count="2">
    <mergeCell ref="A1:N1"/>
    <mergeCell ref="A2:N2"/>
  </mergeCells>
  <phoneticPr fontId="2" type="noConversion"/>
  <pageMargins left="0.19685039370078741" right="0.19685039370078741" top="0.19685039370078741" bottom="0.19685039370078741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2023-03-06T09:24:54Z</cp:lastPrinted>
  <dcterms:created xsi:type="dcterms:W3CDTF">2011-06-06T03:25:48Z</dcterms:created>
  <dcterms:modified xsi:type="dcterms:W3CDTF">2023-03-21T03:01:37Z</dcterms:modified>
</cp:coreProperties>
</file>