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8" i="1" l="1"/>
  <c r="L38" i="1" l="1"/>
  <c r="K38" i="1" l="1"/>
  <c r="L39" i="1" l="1"/>
  <c r="M30" i="1" l="1"/>
  <c r="M18" i="1"/>
  <c r="M29" i="1"/>
  <c r="M9" i="1"/>
  <c r="L36" i="1" l="1"/>
  <c r="M36" i="1"/>
  <c r="K36" i="1"/>
  <c r="L30" i="1"/>
  <c r="L18" i="1"/>
  <c r="L29" i="1"/>
  <c r="L9" i="1"/>
  <c r="K30" i="1" l="1"/>
  <c r="K18" i="1"/>
  <c r="K29" i="1"/>
  <c r="K9" i="1"/>
  <c r="K39" i="1" l="1"/>
  <c r="K31" i="1" l="1"/>
  <c r="L31" i="1"/>
  <c r="M31" i="1"/>
  <c r="K28" i="1"/>
  <c r="L28" i="1"/>
  <c r="M28" i="1"/>
  <c r="M27" i="1"/>
  <c r="L27" i="1"/>
  <c r="K27" i="1"/>
  <c r="J39" i="1" l="1"/>
  <c r="I39" i="1" l="1"/>
  <c r="I31" i="1" l="1"/>
  <c r="J31" i="1"/>
  <c r="H31" i="1"/>
  <c r="J30" i="1" l="1"/>
  <c r="J18" i="1"/>
  <c r="J29" i="1"/>
  <c r="J9" i="1"/>
  <c r="I27" i="1"/>
  <c r="J27" i="1"/>
  <c r="H27" i="1"/>
  <c r="H36" i="1" l="1"/>
  <c r="I36" i="1"/>
  <c r="J36" i="1"/>
  <c r="H28" i="1"/>
  <c r="I28" i="1"/>
  <c r="J28" i="1"/>
  <c r="C28" i="1"/>
  <c r="D28" i="1"/>
  <c r="E28" i="1"/>
  <c r="F28" i="1"/>
  <c r="G28" i="1"/>
  <c r="B28" i="1"/>
  <c r="C27" i="1"/>
  <c r="D27" i="1"/>
  <c r="E27" i="1"/>
  <c r="F27" i="1"/>
  <c r="G27" i="1"/>
  <c r="B27" i="1"/>
  <c r="I30" i="1" l="1"/>
  <c r="I18" i="1"/>
  <c r="I29" i="1"/>
  <c r="I9" i="1"/>
  <c r="H30" i="1" l="1"/>
  <c r="H18" i="1"/>
  <c r="H29" i="1"/>
  <c r="H9" i="1"/>
  <c r="F38" i="1" l="1"/>
  <c r="E38" i="1" l="1"/>
  <c r="G30" i="1" l="1"/>
  <c r="G18" i="1"/>
  <c r="G29" i="1"/>
  <c r="G9" i="1"/>
  <c r="E39" i="1" l="1"/>
  <c r="F30" i="1" l="1"/>
  <c r="F18" i="1"/>
  <c r="F29" i="1"/>
  <c r="F9" i="1"/>
  <c r="E30" i="1" l="1"/>
  <c r="E18" i="1"/>
  <c r="E29" i="1"/>
  <c r="E9" i="1"/>
  <c r="E36" i="1" l="1"/>
  <c r="F36" i="1"/>
  <c r="G36" i="1"/>
  <c r="E31" i="1"/>
  <c r="F31" i="1"/>
  <c r="G31" i="1"/>
  <c r="B15" i="1" l="1"/>
  <c r="B12" i="1"/>
  <c r="B9" i="1"/>
  <c r="D38" i="1" l="1"/>
  <c r="C38" i="1" l="1"/>
  <c r="B38" i="1" l="1"/>
  <c r="C39" i="1" l="1"/>
  <c r="D30" i="1" l="1"/>
  <c r="D18" i="1"/>
  <c r="D29" i="1"/>
  <c r="D9" i="1"/>
  <c r="C36" i="1"/>
  <c r="D36" i="1"/>
  <c r="B36" i="1"/>
  <c r="C31" i="1"/>
  <c r="D31" i="1"/>
  <c r="B31" i="1"/>
  <c r="B39" i="1" l="1"/>
  <c r="C30" i="1" l="1"/>
  <c r="C18" i="1"/>
  <c r="C29" i="1"/>
  <c r="C9" i="1"/>
  <c r="B30" i="1" l="1"/>
  <c r="B18" i="1"/>
  <c r="B29" i="1"/>
  <c r="N16" i="1" l="1"/>
  <c r="N15" i="1"/>
  <c r="N14" i="1"/>
  <c r="N28" i="1" l="1"/>
  <c r="N31" i="1"/>
  <c r="N33" i="1"/>
  <c r="N34" i="1"/>
  <c r="N35" i="1"/>
  <c r="N36" i="1"/>
  <c r="N37" i="1"/>
  <c r="N38" i="1"/>
  <c r="N27" i="1"/>
  <c r="N11" i="1" l="1"/>
  <c r="N13" i="1"/>
  <c r="N12" i="1"/>
  <c r="N25" i="1" l="1"/>
  <c r="N19" i="1" l="1"/>
  <c r="N20" i="1"/>
  <c r="N21" i="1"/>
  <c r="N22" i="1"/>
  <c r="N23" i="1"/>
  <c r="N24" i="1"/>
  <c r="N32" i="1" l="1"/>
  <c r="N39" i="1" l="1"/>
  <c r="D17" i="1" l="1"/>
  <c r="D8" i="1"/>
  <c r="C17" i="1" l="1"/>
  <c r="C8" i="1"/>
  <c r="N30" i="1"/>
  <c r="N29" i="1"/>
  <c r="B8" i="1"/>
  <c r="B17" i="1" l="1"/>
  <c r="B43" i="1" s="1"/>
  <c r="N18" i="1"/>
  <c r="N7" i="1"/>
  <c r="N6" i="1"/>
  <c r="G17" i="1"/>
  <c r="G40" i="1" l="1"/>
  <c r="G41" i="1" s="1"/>
  <c r="C7" i="1"/>
  <c r="C43" i="1" s="1"/>
  <c r="G8" i="1"/>
  <c r="C40" i="1"/>
  <c r="C41" i="1" s="1"/>
  <c r="B40" i="1" l="1"/>
  <c r="B41" i="1" l="1"/>
  <c r="B42" i="1" s="1"/>
  <c r="C6" i="1" s="1"/>
  <c r="C42" i="1" s="1"/>
  <c r="N10" i="1"/>
  <c r="N9" i="1" l="1"/>
  <c r="E17" i="1" l="1"/>
  <c r="L17" i="1"/>
  <c r="M17" i="1"/>
  <c r="K17" i="1" l="1"/>
  <c r="J17" i="1" l="1"/>
  <c r="I17" i="1"/>
  <c r="D7" i="1" l="1"/>
  <c r="D43" i="1" s="1"/>
  <c r="H17" i="1" l="1"/>
  <c r="F17" i="1" l="1"/>
  <c r="N17" i="1" l="1"/>
  <c r="N40" i="1"/>
  <c r="M40" i="1"/>
  <c r="M41" i="1" s="1"/>
  <c r="L8" i="1"/>
  <c r="L40" i="1" l="1"/>
  <c r="L41" i="1" s="1"/>
  <c r="M8" i="1"/>
  <c r="I40" i="1" l="1"/>
  <c r="I41" i="1" s="1"/>
  <c r="J40" i="1"/>
  <c r="J41" i="1" s="1"/>
  <c r="K40" i="1"/>
  <c r="K41" i="1" s="1"/>
  <c r="I8" i="1"/>
  <c r="J8" i="1"/>
  <c r="K8" i="1"/>
  <c r="F8" i="1" l="1"/>
  <c r="H8" i="1"/>
  <c r="E8" i="1"/>
  <c r="N8" i="1" l="1"/>
  <c r="N43" i="1" s="1"/>
  <c r="E7" i="1"/>
  <c r="D40" i="1"/>
  <c r="H40" i="1"/>
  <c r="H41" i="1" s="1"/>
  <c r="E40" i="1"/>
  <c r="E41" i="1" s="1"/>
  <c r="F40" i="1"/>
  <c r="F41" i="1" s="1"/>
  <c r="E43" i="1" l="1"/>
  <c r="F7" i="1" s="1"/>
  <c r="F43" i="1" s="1"/>
  <c r="G7" i="1" s="1"/>
  <c r="G43" i="1" s="1"/>
  <c r="D41" i="1"/>
  <c r="D6" i="1"/>
  <c r="D42" i="1" l="1"/>
  <c r="E6" i="1" s="1"/>
  <c r="N41" i="1"/>
  <c r="N42" i="1" s="1"/>
  <c r="H7" i="1"/>
  <c r="H43" i="1" s="1"/>
  <c r="E42" i="1" l="1"/>
  <c r="F6" i="1" s="1"/>
  <c r="I7" i="1"/>
  <c r="I43" i="1" s="1"/>
  <c r="F42" i="1" l="1"/>
  <c r="G6" i="1" s="1"/>
  <c r="J7" i="1"/>
  <c r="J43" i="1" s="1"/>
  <c r="G42" i="1" l="1"/>
  <c r="H6" i="1" s="1"/>
  <c r="H42" i="1" s="1"/>
  <c r="I6" i="1" s="1"/>
  <c r="K7" i="1"/>
  <c r="K43" i="1" s="1"/>
  <c r="I42" i="1" l="1"/>
  <c r="J6" i="1" s="1"/>
  <c r="J42" i="1" s="1"/>
  <c r="K6" i="1" s="1"/>
  <c r="K42" i="1" s="1"/>
  <c r="L6" i="1" s="1"/>
  <c r="L42" i="1" s="1"/>
  <c r="M6" i="1" s="1"/>
  <c r="M42" i="1" s="1"/>
  <c r="L7" i="1"/>
  <c r="L43" i="1" s="1"/>
  <c r="M7" i="1" l="1"/>
  <c r="M43" i="1" s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<sst xmlns="http://schemas.openxmlformats.org/spreadsheetml/2006/main" count="54" uniqueCount="44">
  <si>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</si>
  <si>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</si>
  <si>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</si>
  <si>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</si>
  <si>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</si>
  <si>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</si>
  <si>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</si>
  <si>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</si>
  <si>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</si>
  <si>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</si>
  <si>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</si>
  <si>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</si>
  <si>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</si>
  <si>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</si>
  <si>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</si>
  <si>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</si>
  <si>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</si>
  <si>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</si>
  <si>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</si>
  <si>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</si>
  <si>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</si>
  <si>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</si>
  <si>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</si>
  <si>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</si>
  <si>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</si>
  <si>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 xml:space="preserve">                 ОТЧЕТ по дому Короленко, 51</t>
  </si>
  <si>
    <t>Содержание жилья и текущий ремонт,  ОПУ /нежилые</t>
  </si>
  <si>
    <t>Дополнительный доход (использование общего имущества)</t>
  </si>
  <si>
    <t>Содержание жилья и текущий ремонт,  ОПУ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</si>
  <si>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</si>
  <si>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</si>
  <si>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</si>
  <si>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</si>
  <si>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</si>
  <si>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</si>
  <si>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</si>
  <si>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</t>
  </si>
  <si>
    <t>Сентябрь 2022г.</t>
  </si>
  <si>
    <t>Октябрь 2022г.</t>
  </si>
  <si>
    <t>Ноябрь 2022г.</t>
  </si>
  <si>
    <t>Декабрь 2022г</t>
  </si>
  <si>
    <t>Всего:                       за  2022г.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</si>
  <si>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01.01.2022г. по 31.12.2022г.</t>
    </r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</si>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</sst>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3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C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8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164" fontId="11" fillId="2" borderId="4" xfId="0" applyNumberFormat="1" applyFont="1" applyFill="1" applyBorder="1" applyAlignment="1">
      <alignment horizontal="left" vertical="top" wrapText="1"/>
    </xf>
    <xf numFmtId="164" fontId="11" fillId="3" borderId="4" xfId="0" applyNumberFormat="1" applyFont="1" applyFill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left" vertical="top" wrapText="1"/>
    </xf>
    <xf numFmtId="164" fontId="11" fillId="0" borderId="5" xfId="0" applyNumberFormat="1" applyFont="1" applyBorder="1" applyAlignment="1">
      <alignment horizontal="left" vertical="top" wrapText="1"/>
    </xf>
    <xf numFmtId="0" fontId="10" fillId="0" borderId="3" xfId="0" applyFont="1" applyFill="1" applyBorder="1" applyAlignment="1">
      <alignment vertical="top" wrapText="1"/>
    </xf>
    <xf numFmtId="164" fontId="10" fillId="0" borderId="4" xfId="0" applyNumberFormat="1" applyFont="1" applyFill="1" applyBorder="1" applyAlignment="1">
      <alignment horizontal="left" vertical="top" wrapText="1"/>
    </xf>
    <xf numFmtId="0" fontId="0" fillId="0" borderId="0" xfId="0" applyFill="1"/>
    <xf numFmtId="4" fontId="1" fillId="0" borderId="5" xfId="0" applyNumberFormat="1" applyFont="1" applyBorder="1" applyAlignment="1">
      <alignment vertical="top" wrapText="1"/>
    </xf>
    <xf numFmtId="4" fontId="10" fillId="0" borderId="4" xfId="0" applyNumberFormat="1" applyFont="1" applyBorder="1" applyAlignment="1">
      <alignment horizontal="left" vertical="top" wrapText="1"/>
    </xf>
    <xf numFmtId="0" fontId="9" fillId="0" borderId="7" xfId="0" applyFont="1" applyBorder="1" applyAlignment="1">
      <alignment vertical="top" wrapText="1"/>
    </xf>
    <xf numFmtId="4" fontId="1" fillId="3" borderId="6" xfId="0" applyNumberFormat="1" applyFont="1" applyFill="1" applyBorder="1" applyAlignment="1">
      <alignment horizontal="left" vertical="top" wrapText="1"/>
    </xf>
    <xf numFmtId="164" fontId="10" fillId="4" borderId="4" xfId="0" applyNumberFormat="1" applyFont="1" applyFill="1" applyBorder="1" applyAlignment="1">
      <alignment horizontal="left" vertical="top" wrapText="1"/>
    </xf>
    <xf numFmtId="4" fontId="11" fillId="3" borderId="4" xfId="0" applyNumberFormat="1" applyFont="1" applyFill="1" applyBorder="1" applyAlignment="1">
      <alignment horizontal="left" vertical="top" wrapText="1"/>
    </xf>
    <xf numFmtId="4" fontId="0" fillId="0" borderId="0" xfId="0" applyNumberFormat="1"/>
    <xf numFmtId="164" fontId="10" fillId="0" borderId="5" xfId="0" applyNumberFormat="1" applyFont="1" applyBorder="1" applyAlignment="1">
      <alignment horizontal="left" vertical="top" wrapText="1"/>
    </xf>
    <xf numFmtId="0" fontId="12" fillId="0" borderId="0" xfId="0" applyFont="1"/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left" vertical="top" wrapText="1"/>
    </xf>
    <xf numFmtId="4" fontId="11" fillId="0" borderId="4" xfId="0" applyNumberFormat="1" applyFont="1" applyFill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left" vertical="top" wrapText="1"/>
    </xf>
    <xf numFmtId="0" fontId="1" fillId="5" borderId="3" xfId="0" applyFont="1" applyFill="1" applyBorder="1" applyAlignment="1">
      <alignment vertical="top" wrapText="1"/>
    </xf>
    <xf numFmtId="4" fontId="1" fillId="5" borderId="4" xfId="0" applyNumberFormat="1" applyFont="1" applyFill="1" applyBorder="1" applyAlignment="1">
      <alignment horizontal="left" vertical="top" wrapText="1"/>
    </xf>
    <xf numFmtId="164" fontId="11" fillId="5" borderId="4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26" zoomScale="75" workbookViewId="0">
      <selection activeCell="A34" sqref="A34"/>
    </sheetView>
  </sheetViews>
  <sheetFormatPr defaultRowHeight="13.2" x14ac:dyDescent="0.25"/>
  <cols>
    <col min="1" max="1" width="58.6640625" customWidth="1"/>
    <col min="2" max="3" width="14.6640625" customWidth="1"/>
    <col min="4" max="4" width="14.88671875" customWidth="1"/>
    <col min="5" max="13" width="14.33203125" customWidth="1"/>
    <col min="14" max="14" width="15.5546875" customWidth="1"/>
    <col min="17" max="17" width="11.5546875" bestFit="1" customWidth="1"/>
  </cols>
  <sheetData>
    <row r="1" spans="1:18" ht="20.25" customHeight="1" x14ac:dyDescent="0.4">
      <c r="A1" s="33" t="s">
        <v>25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8" ht="20.399999999999999" x14ac:dyDescent="0.35">
      <c r="A2" s="35" t="s">
        <v>42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8" ht="7.5" customHeight="1" thickBot="1" x14ac:dyDescent="0.3">
      <c r="A3" s="1"/>
      <c r="B3" s="1"/>
      <c r="R3" s="2"/>
    </row>
    <row r="4" spans="1:18" ht="3" hidden="1" customHeight="1" thickBot="1" x14ac:dyDescent="0.3">
      <c r="A4" s="1"/>
      <c r="B4" s="1"/>
    </row>
    <row r="5" spans="1:18" ht="38.25" customHeight="1" thickBot="1" x14ac:dyDescent="0.3">
      <c r="A5" s="3" t="s">
        <v>0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 t="s">
        <v>40</v>
      </c>
      <c r="N5" s="4" t="s">
        <v>41</v>
      </c>
    </row>
    <row r="6" spans="1:18" ht="23.25" customHeight="1" thickBot="1" x14ac:dyDescent="0.3">
      <c r="A6" s="5" t="s">
        <v>14</v>
      </c>
      <c r="B6" s="10">
        <v>-538010.5</v>
      </c>
      <c r="C6" s="10">
        <f>B42</f>
        <v>-554001.85845000006</v>
      </c>
      <c r="D6" s="10">
        <f>C42</f>
        <v>-560627.23544000008</v>
      </c>
      <c r="E6" s="10">
        <f t="shared" ref="E6:K6" si="0">D42</f>
        <v>-554591.32513000013</v>
      </c>
      <c r="F6" s="10">
        <f t="shared" si="0"/>
        <v>-542531.88662000012</v>
      </c>
      <c r="G6" s="10">
        <f t="shared" si="0"/>
        <v>-545055.74161000014</v>
      </c>
      <c r="H6" s="10">
        <f>G42</f>
        <v>-517149.82680000016</v>
      </c>
      <c r="I6" s="10">
        <f t="shared" si="0"/>
        <v>-515068.96659000014</v>
      </c>
      <c r="J6" s="10">
        <f t="shared" si="0"/>
        <v>-563869.32000000007</v>
      </c>
      <c r="K6" s="10">
        <f t="shared" si="0"/>
        <v>-626643.26411000011</v>
      </c>
      <c r="L6" s="10">
        <f t="shared" ref="L6:M6" si="1">K42</f>
        <v>-659090.63302000007</v>
      </c>
      <c r="M6" s="10">
        <f t="shared" si="1"/>
        <v>-617917.16593000013</v>
      </c>
      <c r="N6" s="10">
        <f>B6</f>
        <v>-538010.5</v>
      </c>
    </row>
    <row r="7" spans="1:18" ht="21" customHeight="1" thickBot="1" x14ac:dyDescent="0.3">
      <c r="A7" s="5" t="s">
        <v>13</v>
      </c>
      <c r="B7" s="10">
        <v>-419253.44</v>
      </c>
      <c r="C7" s="10">
        <f>B43</f>
        <v>-449818.4</v>
      </c>
      <c r="D7" s="10">
        <f>C43</f>
        <v>-468526.30000000005</v>
      </c>
      <c r="E7" s="10">
        <f t="shared" ref="E7:K7" si="2">D43</f>
        <v>-484904.11000000004</v>
      </c>
      <c r="F7" s="10">
        <f t="shared" si="2"/>
        <v>-491590.86000000004</v>
      </c>
      <c r="G7" s="10">
        <f t="shared" si="2"/>
        <v>-517526.16000000003</v>
      </c>
      <c r="H7" s="10">
        <f>G43</f>
        <v>-511709.12000000005</v>
      </c>
      <c r="I7" s="10">
        <f t="shared" si="2"/>
        <v>-525269.26</v>
      </c>
      <c r="J7" s="10">
        <f t="shared" si="2"/>
        <v>-538753.08000000007</v>
      </c>
      <c r="K7" s="10">
        <f t="shared" si="2"/>
        <v>-519883.21000000008</v>
      </c>
      <c r="L7" s="10">
        <f t="shared" ref="L7:M7" si="3">K43</f>
        <v>-575130.04</v>
      </c>
      <c r="M7" s="10">
        <f t="shared" si="3"/>
        <v>-564214.35</v>
      </c>
      <c r="N7" s="10">
        <f>B7</f>
        <v>-419253.44</v>
      </c>
    </row>
    <row r="8" spans="1:18" ht="20.25" customHeight="1" thickBot="1" x14ac:dyDescent="0.3">
      <c r="A8" s="6" t="s">
        <v>12</v>
      </c>
      <c r="B8" s="22">
        <f>SUM(B9:B16)</f>
        <v>106027.26999999999</v>
      </c>
      <c r="C8" s="22">
        <f t="shared" ref="C8:D8" si="4">SUM(C9:C16)</f>
        <v>106220.83</v>
      </c>
      <c r="D8" s="22">
        <f t="shared" si="4"/>
        <v>106220.83</v>
      </c>
      <c r="E8" s="11">
        <f t="shared" ref="E8:M8" si="5">SUM(E9:E15)</f>
        <v>106020.83</v>
      </c>
      <c r="F8" s="11">
        <f t="shared" si="5"/>
        <v>106020.83</v>
      </c>
      <c r="G8" s="11">
        <f t="shared" si="5"/>
        <v>106020.83</v>
      </c>
      <c r="H8" s="11">
        <f t="shared" si="5"/>
        <v>106020.83</v>
      </c>
      <c r="I8" s="11">
        <f t="shared" si="5"/>
        <v>104543.17</v>
      </c>
      <c r="J8" s="11">
        <f t="shared" si="5"/>
        <v>104543.17</v>
      </c>
      <c r="K8" s="11">
        <f t="shared" si="5"/>
        <v>124251.77</v>
      </c>
      <c r="L8" s="11">
        <f t="shared" si="5"/>
        <v>129814.56999999999</v>
      </c>
      <c r="M8" s="11">
        <f t="shared" si="5"/>
        <v>123669.26</v>
      </c>
      <c r="N8" s="11">
        <f t="shared" ref="N8:N13" si="6">SUM(B8:M8)</f>
        <v>1329374.19</v>
      </c>
    </row>
    <row r="9" spans="1:18" ht="24.75" customHeight="1" thickBot="1" x14ac:dyDescent="0.3">
      <c r="A9" s="9" t="s">
        <v>28</v>
      </c>
      <c r="B9" s="18">
        <f>95355.91+2764.45</f>
        <v>98120.36</v>
      </c>
      <c r="C9" s="12">
        <f t="shared" ref="C9:H9" si="7">95355.91+2989.01</f>
        <v>98344.92</v>
      </c>
      <c r="D9" s="12">
        <f t="shared" si="7"/>
        <v>98344.92</v>
      </c>
      <c r="E9" s="12">
        <f t="shared" si="7"/>
        <v>98344.92</v>
      </c>
      <c r="F9" s="12">
        <f t="shared" si="7"/>
        <v>98344.92</v>
      </c>
      <c r="G9" s="12">
        <f t="shared" si="7"/>
        <v>98344.92</v>
      </c>
      <c r="H9" s="12">
        <f t="shared" si="7"/>
        <v>98344.92</v>
      </c>
      <c r="I9" s="12">
        <f>95355.91+1494.68</f>
        <v>96850.59</v>
      </c>
      <c r="J9" s="12">
        <f>95355.91+1494.68</f>
        <v>96850.59</v>
      </c>
      <c r="K9" s="12">
        <f>114438.38+1494.68</f>
        <v>115933.06</v>
      </c>
      <c r="L9" s="12">
        <f>114438.38+1494.68</f>
        <v>115933.06</v>
      </c>
      <c r="M9" s="12">
        <f>114442.44+1494.73</f>
        <v>115937.17</v>
      </c>
      <c r="N9" s="12">
        <f t="shared" si="6"/>
        <v>1229694.3499999999</v>
      </c>
    </row>
    <row r="10" spans="1:18" ht="24.75" hidden="1" customHeight="1" thickBot="1" x14ac:dyDescent="0.3">
      <c r="A10" s="9" t="s">
        <v>26</v>
      </c>
      <c r="B10" s="18"/>
      <c r="C10" s="18"/>
      <c r="D10" s="18"/>
      <c r="E10" s="12"/>
      <c r="F10" s="12"/>
      <c r="G10" s="12"/>
      <c r="H10" s="12"/>
      <c r="I10" s="12"/>
      <c r="J10" s="12"/>
      <c r="K10" s="12"/>
      <c r="L10" s="12"/>
      <c r="M10" s="12"/>
      <c r="N10" s="12">
        <f t="shared" si="6"/>
        <v>0</v>
      </c>
    </row>
    <row r="11" spans="1:18" ht="24.75" customHeight="1" thickBot="1" x14ac:dyDescent="0.3">
      <c r="A11" s="9" t="s">
        <v>15</v>
      </c>
      <c r="B11" s="18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f t="shared" si="6"/>
        <v>0</v>
      </c>
    </row>
    <row r="12" spans="1:18" ht="21.75" customHeight="1" thickBot="1" x14ac:dyDescent="0.3">
      <c r="A12" s="9" t="s">
        <v>16</v>
      </c>
      <c r="B12" s="18">
        <f>434.7+17.96*2</f>
        <v>470.62</v>
      </c>
      <c r="C12" s="12">
        <v>436.8</v>
      </c>
      <c r="D12" s="12">
        <v>436.8</v>
      </c>
      <c r="E12" s="12">
        <v>436.8</v>
      </c>
      <c r="F12" s="12">
        <v>436.8</v>
      </c>
      <c r="G12" s="12">
        <v>436.8</v>
      </c>
      <c r="H12" s="12">
        <v>436.8</v>
      </c>
      <c r="I12" s="12">
        <v>453.47</v>
      </c>
      <c r="J12" s="12">
        <v>453.47</v>
      </c>
      <c r="K12" s="12">
        <v>302.33</v>
      </c>
      <c r="L12" s="12">
        <v>302.33</v>
      </c>
      <c r="M12" s="12">
        <v>302.29000000000002</v>
      </c>
      <c r="N12" s="12">
        <f t="shared" si="6"/>
        <v>4905.3100000000004</v>
      </c>
    </row>
    <row r="13" spans="1:18" ht="22.5" customHeight="1" thickBot="1" x14ac:dyDescent="0.3">
      <c r="A13" s="9" t="s">
        <v>17</v>
      </c>
      <c r="B13" s="18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777.27</v>
      </c>
      <c r="L13" s="12">
        <v>6340.07</v>
      </c>
      <c r="M13" s="12">
        <v>0</v>
      </c>
      <c r="N13" s="12">
        <f t="shared" si="6"/>
        <v>7117.34</v>
      </c>
    </row>
    <row r="14" spans="1:18" ht="22.5" customHeight="1" thickBot="1" x14ac:dyDescent="0.3">
      <c r="A14" s="9" t="s">
        <v>24</v>
      </c>
      <c r="B14" s="18">
        <v>596.29</v>
      </c>
      <c r="C14" s="12">
        <v>599.11</v>
      </c>
      <c r="D14" s="12">
        <v>599.11</v>
      </c>
      <c r="E14" s="12">
        <v>599.11</v>
      </c>
      <c r="F14" s="12">
        <v>599.11</v>
      </c>
      <c r="G14" s="12">
        <v>599.11</v>
      </c>
      <c r="H14" s="12">
        <v>599.11</v>
      </c>
      <c r="I14" s="12">
        <v>599.11</v>
      </c>
      <c r="J14" s="12">
        <v>599.11</v>
      </c>
      <c r="K14" s="12">
        <v>599.11</v>
      </c>
      <c r="L14" s="12">
        <v>599.11</v>
      </c>
      <c r="M14" s="12">
        <v>789.8</v>
      </c>
      <c r="N14" s="12">
        <f>SUM(B14:M14)</f>
        <v>7377.19</v>
      </c>
    </row>
    <row r="15" spans="1:18" ht="22.5" customHeight="1" thickBot="1" x14ac:dyDescent="0.3">
      <c r="A15" s="9" t="s">
        <v>43</v>
      </c>
      <c r="B15" s="18">
        <f>6480+80*2</f>
        <v>6640</v>
      </c>
      <c r="C15" s="12">
        <v>6640</v>
      </c>
      <c r="D15" s="12">
        <v>6640</v>
      </c>
      <c r="E15" s="12">
        <v>6640</v>
      </c>
      <c r="F15" s="12">
        <v>6640</v>
      </c>
      <c r="G15" s="12">
        <v>6640</v>
      </c>
      <c r="H15" s="12">
        <v>6640</v>
      </c>
      <c r="I15" s="12">
        <v>6640</v>
      </c>
      <c r="J15" s="12">
        <v>6640</v>
      </c>
      <c r="K15" s="12">
        <v>6640</v>
      </c>
      <c r="L15" s="12">
        <v>6640</v>
      </c>
      <c r="M15" s="12">
        <v>6640</v>
      </c>
      <c r="N15" s="12">
        <f>SUM(B15:M15)</f>
        <v>79680</v>
      </c>
    </row>
    <row r="16" spans="1:18" ht="22.5" customHeight="1" thickBot="1" x14ac:dyDescent="0.3">
      <c r="A16" s="9" t="s">
        <v>27</v>
      </c>
      <c r="B16" s="18">
        <v>200</v>
      </c>
      <c r="C16" s="12">
        <v>200</v>
      </c>
      <c r="D16" s="12">
        <v>200</v>
      </c>
      <c r="E16" s="12">
        <v>200</v>
      </c>
      <c r="F16" s="12">
        <v>200</v>
      </c>
      <c r="G16" s="12">
        <v>200</v>
      </c>
      <c r="H16" s="12">
        <v>200</v>
      </c>
      <c r="I16" s="12">
        <v>200</v>
      </c>
      <c r="J16" s="12">
        <v>200</v>
      </c>
      <c r="K16" s="12">
        <v>200</v>
      </c>
      <c r="L16" s="12">
        <v>200</v>
      </c>
      <c r="M16" s="12">
        <v>200</v>
      </c>
      <c r="N16" s="12">
        <f>SUM(B16:M16)</f>
        <v>2400</v>
      </c>
    </row>
    <row r="17" spans="1:15" ht="20.25" customHeight="1" thickBot="1" x14ac:dyDescent="0.3">
      <c r="A17" s="30" t="s">
        <v>8</v>
      </c>
      <c r="B17" s="31">
        <f>SUM(B18:B25)</f>
        <v>75462.309999999983</v>
      </c>
      <c r="C17" s="31">
        <f t="shared" ref="C17:D17" si="8">SUM(C18:C25)</f>
        <v>87512.930000000008</v>
      </c>
      <c r="D17" s="31">
        <f t="shared" si="8"/>
        <v>89843.01999999999</v>
      </c>
      <c r="E17" s="32">
        <f t="shared" ref="E17:M17" si="9">SUM(E18:E24)</f>
        <v>99334.079999999987</v>
      </c>
      <c r="F17" s="32">
        <f t="shared" si="9"/>
        <v>80085.530000000013</v>
      </c>
      <c r="G17" s="32">
        <f t="shared" si="9"/>
        <v>111837.87</v>
      </c>
      <c r="H17" s="32">
        <f t="shared" si="9"/>
        <v>92460.689999999988</v>
      </c>
      <c r="I17" s="32">
        <f t="shared" si="9"/>
        <v>91059.35</v>
      </c>
      <c r="J17" s="32">
        <f t="shared" si="9"/>
        <v>123413.04</v>
      </c>
      <c r="K17" s="32">
        <f t="shared" si="9"/>
        <v>69004.939999999988</v>
      </c>
      <c r="L17" s="32">
        <f t="shared" si="9"/>
        <v>140730.25999999998</v>
      </c>
      <c r="M17" s="32">
        <f t="shared" si="9"/>
        <v>84068.56</v>
      </c>
      <c r="N17" s="32">
        <f>SUM(B17:M17)</f>
        <v>1144812.5799999998</v>
      </c>
    </row>
    <row r="18" spans="1:15" ht="24" customHeight="1" thickBot="1" x14ac:dyDescent="0.3">
      <c r="A18" s="9" t="s">
        <v>28</v>
      </c>
      <c r="B18" s="12">
        <f>66845.25+1635.04</f>
        <v>68480.289999999994</v>
      </c>
      <c r="C18" s="12">
        <f>76900.78+2001.3</f>
        <v>78902.080000000002</v>
      </c>
      <c r="D18" s="12">
        <f>80911.89+1809.11</f>
        <v>82721</v>
      </c>
      <c r="E18" s="12">
        <f>90270.42+2181.48</f>
        <v>92451.9</v>
      </c>
      <c r="F18" s="12">
        <f>72637.74+1595.01</f>
        <v>74232.75</v>
      </c>
      <c r="G18" s="12">
        <f>98508.03+3954.12</f>
        <v>102462.15</v>
      </c>
      <c r="H18" s="12">
        <f>81780.17+2917.95</f>
        <v>84698.12</v>
      </c>
      <c r="I18" s="12">
        <f>80490.06+2762.07</f>
        <v>83252.13</v>
      </c>
      <c r="J18" s="12">
        <f>110905.4+3118.29</f>
        <v>114023.68999999999</v>
      </c>
      <c r="K18" s="12">
        <f>61590.68+928.31</f>
        <v>62518.99</v>
      </c>
      <c r="L18" s="12">
        <f>128559.01+3000.55</f>
        <v>131559.56</v>
      </c>
      <c r="M18" s="12">
        <f>72847.14+898.99</f>
        <v>73746.13</v>
      </c>
      <c r="N18" s="12">
        <f>SUM(B18:M18)</f>
        <v>1049048.79</v>
      </c>
      <c r="O18" s="25"/>
    </row>
    <row r="19" spans="1:15" ht="24" hidden="1" customHeight="1" thickBot="1" x14ac:dyDescent="0.3">
      <c r="A19" s="9" t="s">
        <v>26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>
        <f t="shared" ref="N19:N25" si="10">SUM(B19:M19)</f>
        <v>0</v>
      </c>
    </row>
    <row r="20" spans="1:15" ht="26.25" customHeight="1" thickBot="1" x14ac:dyDescent="0.3">
      <c r="A20" s="9" t="s">
        <v>15</v>
      </c>
      <c r="B20" s="12">
        <v>0.01</v>
      </c>
      <c r="C20" s="12">
        <v>45.73</v>
      </c>
      <c r="D20" s="12">
        <v>21.62</v>
      </c>
      <c r="E20" s="12">
        <v>20.29</v>
      </c>
      <c r="F20" s="12">
        <v>0</v>
      </c>
      <c r="G20" s="12">
        <v>163.61000000000001</v>
      </c>
      <c r="H20" s="12">
        <v>69.67</v>
      </c>
      <c r="I20" s="12">
        <v>87.56</v>
      </c>
      <c r="J20" s="12">
        <v>138.72</v>
      </c>
      <c r="K20" s="12">
        <v>0</v>
      </c>
      <c r="L20" s="12">
        <v>101.41</v>
      </c>
      <c r="M20" s="12">
        <v>0</v>
      </c>
      <c r="N20" s="12">
        <f t="shared" si="10"/>
        <v>648.62</v>
      </c>
    </row>
    <row r="21" spans="1:15" ht="26.25" customHeight="1" thickBot="1" x14ac:dyDescent="0.3">
      <c r="A21" s="9" t="s">
        <v>16</v>
      </c>
      <c r="B21" s="12">
        <v>270.06</v>
      </c>
      <c r="C21" s="12">
        <v>330.96</v>
      </c>
      <c r="D21" s="12">
        <v>297.67</v>
      </c>
      <c r="E21" s="12">
        <v>334.88</v>
      </c>
      <c r="F21" s="12">
        <v>249.82</v>
      </c>
      <c r="G21" s="12">
        <v>475.23</v>
      </c>
      <c r="H21" s="12">
        <v>384.38</v>
      </c>
      <c r="I21" s="12">
        <v>387.42</v>
      </c>
      <c r="J21" s="12">
        <v>542.64</v>
      </c>
      <c r="K21" s="12">
        <v>292.56</v>
      </c>
      <c r="L21" s="12">
        <v>469.34</v>
      </c>
      <c r="M21" s="12">
        <v>192.45</v>
      </c>
      <c r="N21" s="12">
        <f t="shared" si="10"/>
        <v>4227.41</v>
      </c>
    </row>
    <row r="22" spans="1:15" ht="24" customHeight="1" thickBot="1" x14ac:dyDescent="0.3">
      <c r="A22" s="9" t="s">
        <v>17</v>
      </c>
      <c r="B22" s="12">
        <v>961.84</v>
      </c>
      <c r="C22" s="12">
        <v>155.88</v>
      </c>
      <c r="D22" s="12">
        <v>96.47</v>
      </c>
      <c r="E22" s="12">
        <v>69.17</v>
      </c>
      <c r="F22" s="12">
        <v>0</v>
      </c>
      <c r="G22" s="12">
        <v>1537.12</v>
      </c>
      <c r="H22" s="12">
        <v>694.06</v>
      </c>
      <c r="I22" s="12">
        <v>711.35</v>
      </c>
      <c r="J22" s="12">
        <v>1219.1600000000001</v>
      </c>
      <c r="K22" s="12">
        <v>4.7</v>
      </c>
      <c r="L22" s="12">
        <v>1447.72</v>
      </c>
      <c r="M22" s="12">
        <v>3827.67</v>
      </c>
      <c r="N22" s="12">
        <f t="shared" si="10"/>
        <v>10725.14</v>
      </c>
    </row>
    <row r="23" spans="1:15" ht="24" customHeight="1" thickBot="1" x14ac:dyDescent="0.3">
      <c r="A23" s="9" t="s">
        <v>24</v>
      </c>
      <c r="B23" s="12">
        <v>370.35</v>
      </c>
      <c r="C23" s="12">
        <v>436.78</v>
      </c>
      <c r="D23" s="12">
        <v>400.14</v>
      </c>
      <c r="E23" s="12">
        <v>451.68</v>
      </c>
      <c r="F23" s="12">
        <v>342.61</v>
      </c>
      <c r="G23" s="12">
        <v>886.96</v>
      </c>
      <c r="H23" s="12">
        <v>636.42999999999995</v>
      </c>
      <c r="I23" s="12">
        <v>620.91999999999996</v>
      </c>
      <c r="J23" s="12">
        <v>899</v>
      </c>
      <c r="K23" s="12">
        <v>387.11</v>
      </c>
      <c r="L23" s="12">
        <v>899.21</v>
      </c>
      <c r="M23" s="12">
        <v>383.04</v>
      </c>
      <c r="N23" s="12">
        <f t="shared" si="10"/>
        <v>6714.23</v>
      </c>
    </row>
    <row r="24" spans="1:15" ht="24" customHeight="1" thickBot="1" x14ac:dyDescent="0.3">
      <c r="A24" s="9" t="s">
        <v>43</v>
      </c>
      <c r="B24" s="12">
        <v>5379.76</v>
      </c>
      <c r="C24" s="12">
        <v>6641.5</v>
      </c>
      <c r="D24" s="12">
        <v>6306.12</v>
      </c>
      <c r="E24" s="29">
        <v>6006.16</v>
      </c>
      <c r="F24" s="29">
        <v>5260.35</v>
      </c>
      <c r="G24" s="29">
        <v>6312.8</v>
      </c>
      <c r="H24" s="12">
        <v>5978.03</v>
      </c>
      <c r="I24" s="12">
        <v>5999.97</v>
      </c>
      <c r="J24" s="12">
        <v>6589.83</v>
      </c>
      <c r="K24" s="12">
        <v>5801.58</v>
      </c>
      <c r="L24" s="12">
        <v>6253.02</v>
      </c>
      <c r="M24" s="12">
        <v>5919.27</v>
      </c>
      <c r="N24" s="12">
        <f t="shared" si="10"/>
        <v>72448.390000000014</v>
      </c>
    </row>
    <row r="25" spans="1:15" ht="24" customHeight="1" thickBot="1" x14ac:dyDescent="0.3">
      <c r="A25" s="9" t="s">
        <v>27</v>
      </c>
      <c r="B25" s="12">
        <v>0</v>
      </c>
      <c r="C25" s="12">
        <v>1000</v>
      </c>
      <c r="D25" s="24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12">
        <v>0</v>
      </c>
      <c r="L25" s="12">
        <v>0</v>
      </c>
      <c r="M25" s="12">
        <v>0</v>
      </c>
      <c r="N25" s="12">
        <f t="shared" si="10"/>
        <v>1000</v>
      </c>
    </row>
    <row r="26" spans="1:15" ht="21.75" customHeight="1" thickBot="1" x14ac:dyDescent="0.3">
      <c r="A26" s="8" t="s">
        <v>22</v>
      </c>
      <c r="B26" s="17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2"/>
    </row>
    <row r="27" spans="1:15" ht="19.5" customHeight="1" thickBot="1" x14ac:dyDescent="0.3">
      <c r="A27" s="9" t="s">
        <v>1</v>
      </c>
      <c r="B27" s="12">
        <f>5978*0.55</f>
        <v>3287.9</v>
      </c>
      <c r="C27" s="12">
        <f t="shared" ref="C27:G27" si="11">5978*0.55</f>
        <v>3287.9</v>
      </c>
      <c r="D27" s="12">
        <f t="shared" si="11"/>
        <v>3287.9</v>
      </c>
      <c r="E27" s="12">
        <f t="shared" si="11"/>
        <v>3287.9</v>
      </c>
      <c r="F27" s="12">
        <f t="shared" si="11"/>
        <v>3287.9</v>
      </c>
      <c r="G27" s="12">
        <f t="shared" si="11"/>
        <v>3287.9</v>
      </c>
      <c r="H27" s="12">
        <f>5978*0.55</f>
        <v>3287.9</v>
      </c>
      <c r="I27" s="12">
        <f t="shared" ref="I27:K27" si="12">5978*0.55</f>
        <v>3287.9</v>
      </c>
      <c r="J27" s="12">
        <f t="shared" si="12"/>
        <v>3287.9</v>
      </c>
      <c r="K27" s="12">
        <f t="shared" si="12"/>
        <v>3287.9</v>
      </c>
      <c r="L27" s="12">
        <f>5978*0.6</f>
        <v>3586.7999999999997</v>
      </c>
      <c r="M27" s="12">
        <f>5978*0.6</f>
        <v>3586.7999999999997</v>
      </c>
      <c r="N27" s="12">
        <f>SUM(B27:M27)</f>
        <v>40052.600000000013</v>
      </c>
    </row>
    <row r="28" spans="1:15" ht="22.5" customHeight="1" thickBot="1" x14ac:dyDescent="0.3">
      <c r="A28" s="9" t="s">
        <v>2</v>
      </c>
      <c r="B28" s="12">
        <f>5978*0.17</f>
        <v>1016.2600000000001</v>
      </c>
      <c r="C28" s="12">
        <f t="shared" ref="C28:M28" si="13">5978*0.17</f>
        <v>1016.2600000000001</v>
      </c>
      <c r="D28" s="12">
        <f t="shared" si="13"/>
        <v>1016.2600000000001</v>
      </c>
      <c r="E28" s="12">
        <f t="shared" si="13"/>
        <v>1016.2600000000001</v>
      </c>
      <c r="F28" s="12">
        <f t="shared" si="13"/>
        <v>1016.2600000000001</v>
      </c>
      <c r="G28" s="12">
        <f t="shared" si="13"/>
        <v>1016.2600000000001</v>
      </c>
      <c r="H28" s="12">
        <f t="shared" si="13"/>
        <v>1016.2600000000001</v>
      </c>
      <c r="I28" s="12">
        <f t="shared" si="13"/>
        <v>1016.2600000000001</v>
      </c>
      <c r="J28" s="12">
        <f t="shared" si="13"/>
        <v>1016.2600000000001</v>
      </c>
      <c r="K28" s="12">
        <f t="shared" si="13"/>
        <v>1016.2600000000001</v>
      </c>
      <c r="L28" s="12">
        <f t="shared" si="13"/>
        <v>1016.2600000000001</v>
      </c>
      <c r="M28" s="12">
        <f t="shared" si="13"/>
        <v>1016.2600000000001</v>
      </c>
      <c r="N28" s="12">
        <f t="shared" ref="N28:N39" si="14">SUM(B28:M28)</f>
        <v>12195.12</v>
      </c>
    </row>
    <row r="29" spans="1:15" ht="21" customHeight="1" thickBot="1" x14ac:dyDescent="0.3">
      <c r="A29" s="9" t="s">
        <v>3</v>
      </c>
      <c r="B29" s="12">
        <f>98046.05*2.3%</f>
        <v>2255.05915</v>
      </c>
      <c r="C29" s="12">
        <f t="shared" ref="C29:H29" si="15">106020.83*2.3%</f>
        <v>2438.4790899999998</v>
      </c>
      <c r="D29" s="12">
        <f t="shared" si="15"/>
        <v>2438.4790899999998</v>
      </c>
      <c r="E29" s="12">
        <f t="shared" si="15"/>
        <v>2438.4790899999998</v>
      </c>
      <c r="F29" s="12">
        <f t="shared" si="15"/>
        <v>2438.4790899999998</v>
      </c>
      <c r="G29" s="12">
        <f t="shared" si="15"/>
        <v>2438.4790899999998</v>
      </c>
      <c r="H29" s="12">
        <f t="shared" si="15"/>
        <v>2438.4790899999998</v>
      </c>
      <c r="I29" s="12">
        <f>104543.17*2.3%</f>
        <v>2404.4929099999999</v>
      </c>
      <c r="J29" s="12">
        <f>104543.17*2.3%</f>
        <v>2404.4929099999999</v>
      </c>
      <c r="K29" s="12">
        <f>124251.77*2.3%</f>
        <v>2857.7907100000002</v>
      </c>
      <c r="L29" s="12">
        <f>129814.57*2.3%</f>
        <v>2985.7351100000001</v>
      </c>
      <c r="M29" s="12">
        <f>123669.26*2.3%</f>
        <v>2844.3929799999996</v>
      </c>
      <c r="N29" s="12">
        <f t="shared" si="14"/>
        <v>30382.838310000006</v>
      </c>
    </row>
    <row r="30" spans="1:15" ht="23.25" customHeight="1" thickBot="1" x14ac:dyDescent="0.3">
      <c r="A30" s="9" t="s">
        <v>4</v>
      </c>
      <c r="B30" s="12">
        <f>75462.31*3%</f>
        <v>2263.8692999999998</v>
      </c>
      <c r="C30" s="12">
        <f>86512.93*3%</f>
        <v>2595.3878999999997</v>
      </c>
      <c r="D30" s="12">
        <f>89843.02*3%</f>
        <v>2695.2905999999998</v>
      </c>
      <c r="E30" s="12">
        <f>99334.08*3%</f>
        <v>2980.0223999999998</v>
      </c>
      <c r="F30" s="12">
        <f>80085.53*3%</f>
        <v>2402.5659000000001</v>
      </c>
      <c r="G30" s="12">
        <f>111837.87*3%</f>
        <v>3355.1360999999997</v>
      </c>
      <c r="H30" s="12">
        <f>92460.69*3%</f>
        <v>2773.8206999999998</v>
      </c>
      <c r="I30" s="12">
        <f>91059.35*3%</f>
        <v>2731.7804999999998</v>
      </c>
      <c r="J30" s="12">
        <f>123413.04*3%</f>
        <v>3702.3911999999996</v>
      </c>
      <c r="K30" s="12">
        <f>69004.94*3%</f>
        <v>2070.1482000000001</v>
      </c>
      <c r="L30" s="12">
        <f>140730.26*3%</f>
        <v>4221.9078</v>
      </c>
      <c r="M30" s="12">
        <f>84068.56*3%</f>
        <v>2522.0567999999998</v>
      </c>
      <c r="N30" s="12">
        <f t="shared" si="14"/>
        <v>34314.377399999998</v>
      </c>
    </row>
    <row r="31" spans="1:15" ht="23.25" customHeight="1" thickBot="1" x14ac:dyDescent="0.3">
      <c r="A31" s="7" t="s">
        <v>9</v>
      </c>
      <c r="B31" s="12">
        <f>5978*8.5</f>
        <v>50813</v>
      </c>
      <c r="C31" s="12">
        <f t="shared" ref="C31:G31" si="16">5978*8.5</f>
        <v>50813</v>
      </c>
      <c r="D31" s="12">
        <f t="shared" si="16"/>
        <v>50813</v>
      </c>
      <c r="E31" s="12">
        <f t="shared" si="16"/>
        <v>50813</v>
      </c>
      <c r="F31" s="12">
        <f t="shared" si="16"/>
        <v>50813</v>
      </c>
      <c r="G31" s="12">
        <f t="shared" si="16"/>
        <v>50813</v>
      </c>
      <c r="H31" s="12">
        <f>5978*9.7</f>
        <v>57986.6</v>
      </c>
      <c r="I31" s="12">
        <f t="shared" ref="I31:M31" si="17">5978*9.7</f>
        <v>57986.6</v>
      </c>
      <c r="J31" s="12">
        <f t="shared" si="17"/>
        <v>57986.6</v>
      </c>
      <c r="K31" s="12">
        <f t="shared" si="17"/>
        <v>57986.6</v>
      </c>
      <c r="L31" s="12">
        <f t="shared" si="17"/>
        <v>57986.6</v>
      </c>
      <c r="M31" s="12">
        <f t="shared" si="17"/>
        <v>57986.6</v>
      </c>
      <c r="N31" s="12">
        <f t="shared" si="14"/>
        <v>652797.59999999986</v>
      </c>
    </row>
    <row r="32" spans="1:15" ht="26.25" customHeight="1" thickBot="1" x14ac:dyDescent="0.3">
      <c r="A32" s="9" t="s">
        <v>18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f t="shared" si="14"/>
        <v>0</v>
      </c>
    </row>
    <row r="33" spans="1:17" ht="26.25" customHeight="1" thickBot="1" x14ac:dyDescent="0.3">
      <c r="A33" s="9" t="s">
        <v>19</v>
      </c>
      <c r="B33" s="12">
        <v>462.58</v>
      </c>
      <c r="C33" s="12">
        <v>462.58</v>
      </c>
      <c r="D33" s="12">
        <v>462.58</v>
      </c>
      <c r="E33" s="12">
        <v>462.58</v>
      </c>
      <c r="F33" s="12">
        <v>462.58</v>
      </c>
      <c r="G33" s="12">
        <v>462.58</v>
      </c>
      <c r="H33" s="12">
        <v>480.17</v>
      </c>
      <c r="I33" s="12">
        <v>480.17</v>
      </c>
      <c r="J33" s="12">
        <v>480.17</v>
      </c>
      <c r="K33" s="12">
        <v>320.11</v>
      </c>
      <c r="L33" s="12">
        <v>320.11</v>
      </c>
      <c r="M33" s="12">
        <v>433.48</v>
      </c>
      <c r="N33" s="12">
        <f t="shared" si="14"/>
        <v>5289.6899999999987</v>
      </c>
    </row>
    <row r="34" spans="1:17" ht="26.25" customHeight="1" thickBot="1" x14ac:dyDescent="0.3">
      <c r="A34" s="9" t="s">
        <v>20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822.96</v>
      </c>
      <c r="K34" s="12">
        <v>6713.22</v>
      </c>
      <c r="L34" s="12">
        <v>0</v>
      </c>
      <c r="M34" s="12">
        <v>0</v>
      </c>
      <c r="N34" s="12">
        <f t="shared" si="14"/>
        <v>7536.18</v>
      </c>
    </row>
    <row r="35" spans="1:17" s="16" customFormat="1" ht="26.25" customHeight="1" thickBot="1" x14ac:dyDescent="0.3">
      <c r="A35" s="14" t="s">
        <v>24</v>
      </c>
      <c r="B35" s="15">
        <v>634.26</v>
      </c>
      <c r="C35" s="15">
        <v>634.26</v>
      </c>
      <c r="D35" s="15">
        <v>634.26</v>
      </c>
      <c r="E35" s="15">
        <v>634.26</v>
      </c>
      <c r="F35" s="15">
        <v>634.26</v>
      </c>
      <c r="G35" s="15">
        <v>634.26</v>
      </c>
      <c r="H35" s="15">
        <v>634.26</v>
      </c>
      <c r="I35" s="15">
        <v>634.26</v>
      </c>
      <c r="J35" s="15">
        <v>634.26</v>
      </c>
      <c r="K35" s="15">
        <v>634.26</v>
      </c>
      <c r="L35" s="15">
        <v>634.26</v>
      </c>
      <c r="M35" s="15">
        <v>836.38</v>
      </c>
      <c r="N35" s="12">
        <f t="shared" si="14"/>
        <v>7813.2400000000016</v>
      </c>
    </row>
    <row r="36" spans="1:17" ht="22.5" customHeight="1" thickBot="1" x14ac:dyDescent="0.3">
      <c r="A36" s="9" t="s">
        <v>6</v>
      </c>
      <c r="B36" s="12">
        <f>5978*2.53</f>
        <v>15124.339999999998</v>
      </c>
      <c r="C36" s="12">
        <f t="shared" ref="C36:J36" si="18">5978*2.53</f>
        <v>15124.339999999998</v>
      </c>
      <c r="D36" s="12">
        <f t="shared" si="18"/>
        <v>15124.339999999998</v>
      </c>
      <c r="E36" s="12">
        <f t="shared" si="18"/>
        <v>15124.339999999998</v>
      </c>
      <c r="F36" s="12">
        <f t="shared" si="18"/>
        <v>15124.339999999998</v>
      </c>
      <c r="G36" s="12">
        <f t="shared" si="18"/>
        <v>15124.339999999998</v>
      </c>
      <c r="H36" s="12">
        <f t="shared" si="18"/>
        <v>15124.339999999998</v>
      </c>
      <c r="I36" s="12">
        <f t="shared" si="18"/>
        <v>15124.339999999998</v>
      </c>
      <c r="J36" s="12">
        <f t="shared" si="18"/>
        <v>15124.339999999998</v>
      </c>
      <c r="K36" s="12">
        <f>5978*3.04</f>
        <v>18173.12</v>
      </c>
      <c r="L36" s="12">
        <f t="shared" ref="L36:M36" si="19">5978*3.04</f>
        <v>18173.12</v>
      </c>
      <c r="M36" s="12">
        <f t="shared" si="19"/>
        <v>18173.12</v>
      </c>
      <c r="N36" s="12">
        <f t="shared" si="14"/>
        <v>190638.41999999998</v>
      </c>
    </row>
    <row r="37" spans="1:17" ht="21.75" customHeight="1" thickBot="1" x14ac:dyDescent="0.3">
      <c r="A37" s="9" t="s">
        <v>43</v>
      </c>
      <c r="B37" s="12">
        <v>5170</v>
      </c>
      <c r="C37" s="21">
        <v>5990</v>
      </c>
      <c r="D37" s="21">
        <v>6195</v>
      </c>
      <c r="E37" s="21">
        <v>5685</v>
      </c>
      <c r="F37" s="21">
        <v>5290</v>
      </c>
      <c r="G37" s="21">
        <v>5900</v>
      </c>
      <c r="H37" s="21">
        <v>5738</v>
      </c>
      <c r="I37" s="12">
        <v>5605</v>
      </c>
      <c r="J37" s="12">
        <v>5975</v>
      </c>
      <c r="K37" s="12">
        <v>5830</v>
      </c>
      <c r="L37" s="12">
        <v>5920</v>
      </c>
      <c r="M37" s="12">
        <v>5305</v>
      </c>
      <c r="N37" s="12">
        <f t="shared" si="14"/>
        <v>68603</v>
      </c>
    </row>
    <row r="38" spans="1:17" ht="24.75" customHeight="1" thickBot="1" x14ac:dyDescent="0.3">
      <c r="A38" s="9" t="s">
        <v>23</v>
      </c>
      <c r="B38" s="12">
        <f>1140</f>
        <v>1140</v>
      </c>
      <c r="C38" s="12">
        <f>1140</f>
        <v>1140</v>
      </c>
      <c r="D38" s="12">
        <f>1140</f>
        <v>1140</v>
      </c>
      <c r="E38" s="12">
        <f>1140</f>
        <v>1140</v>
      </c>
      <c r="F38" s="12">
        <f>1140</f>
        <v>1140</v>
      </c>
      <c r="G38" s="12">
        <v>900</v>
      </c>
      <c r="H38" s="12">
        <v>900</v>
      </c>
      <c r="I38" s="12">
        <v>900</v>
      </c>
      <c r="J38" s="12">
        <v>900</v>
      </c>
      <c r="K38" s="12">
        <f>900</f>
        <v>900</v>
      </c>
      <c r="L38" s="12">
        <f>900</f>
        <v>900</v>
      </c>
      <c r="M38" s="12">
        <f>900</f>
        <v>900</v>
      </c>
      <c r="N38" s="12">
        <f t="shared" si="14"/>
        <v>12000</v>
      </c>
    </row>
    <row r="39" spans="1:17" ht="24" customHeight="1" thickBot="1" x14ac:dyDescent="0.3">
      <c r="A39" s="9" t="s">
        <v>10</v>
      </c>
      <c r="B39" s="12">
        <f>9286.4</f>
        <v>9286.4</v>
      </c>
      <c r="C39" s="12">
        <f>10006.1+315+315</f>
        <v>10636.1</v>
      </c>
      <c r="D39" s="12">
        <v>0</v>
      </c>
      <c r="E39" s="12">
        <f>1204.2+2488.6</f>
        <v>3692.8</v>
      </c>
      <c r="F39" s="12">
        <v>0</v>
      </c>
      <c r="G39" s="12">
        <v>0</v>
      </c>
      <c r="H39" s="12">
        <v>0</v>
      </c>
      <c r="I39" s="12">
        <f>29101.2+1391.7+634.1+1729.8+12901.8+3213.7+716.6</f>
        <v>49688.9</v>
      </c>
      <c r="J39" s="12">
        <f>170+170+6298.6+87214.01</f>
        <v>93852.61</v>
      </c>
      <c r="K39" s="12">
        <f>1492.9+170</f>
        <v>1662.9</v>
      </c>
      <c r="L39" s="12">
        <f>3812</f>
        <v>3812</v>
      </c>
      <c r="M39" s="12">
        <v>0</v>
      </c>
      <c r="N39" s="12">
        <f t="shared" si="14"/>
        <v>172631.71</v>
      </c>
    </row>
    <row r="40" spans="1:17" ht="22.5" customHeight="1" thickBot="1" x14ac:dyDescent="0.3">
      <c r="A40" s="6" t="s">
        <v>21</v>
      </c>
      <c r="B40" s="20">
        <f t="shared" ref="B40:N40" si="20">SUM(B27:B39)</f>
        <v>91453.668449999997</v>
      </c>
      <c r="C40" s="20">
        <f t="shared" si="20"/>
        <v>94138.306990000012</v>
      </c>
      <c r="D40" s="20">
        <f t="shared" si="20"/>
        <v>83807.109689999997</v>
      </c>
      <c r="E40" s="20">
        <f t="shared" si="20"/>
        <v>87274.641490000009</v>
      </c>
      <c r="F40" s="20">
        <f t="shared" si="20"/>
        <v>82609.384990000006</v>
      </c>
      <c r="G40" s="20">
        <f t="shared" si="20"/>
        <v>83931.955190000008</v>
      </c>
      <c r="H40" s="20">
        <f t="shared" si="20"/>
        <v>90379.829789999989</v>
      </c>
      <c r="I40" s="20">
        <f t="shared" si="20"/>
        <v>139859.70340999999</v>
      </c>
      <c r="J40" s="20">
        <f t="shared" si="20"/>
        <v>186186.98410999999</v>
      </c>
      <c r="K40" s="20">
        <f t="shared" si="20"/>
        <v>101452.30890999999</v>
      </c>
      <c r="L40" s="20">
        <f t="shared" si="20"/>
        <v>99556.792909999989</v>
      </c>
      <c r="M40" s="20">
        <f t="shared" si="20"/>
        <v>93604.089779999995</v>
      </c>
      <c r="N40" s="11">
        <f t="shared" si="20"/>
        <v>1234254.7757099997</v>
      </c>
      <c r="Q40" s="23"/>
    </row>
    <row r="41" spans="1:17" ht="23.25" customHeight="1" thickBot="1" x14ac:dyDescent="0.3">
      <c r="A41" s="19" t="s">
        <v>5</v>
      </c>
      <c r="B41" s="26">
        <f t="shared" ref="B41:N41" si="21">B17-B40</f>
        <v>-15991.358450000014</v>
      </c>
      <c r="C41" s="26">
        <f t="shared" si="21"/>
        <v>-6625.3769900000043</v>
      </c>
      <c r="D41" s="26">
        <f t="shared" si="21"/>
        <v>6035.910309999992</v>
      </c>
      <c r="E41" s="26">
        <f t="shared" si="21"/>
        <v>12059.438509999978</v>
      </c>
      <c r="F41" s="26">
        <f t="shared" si="21"/>
        <v>-2523.8549899999925</v>
      </c>
      <c r="G41" s="26">
        <f t="shared" si="21"/>
        <v>27905.914809999987</v>
      </c>
      <c r="H41" s="26">
        <f t="shared" si="21"/>
        <v>2080.8602099999989</v>
      </c>
      <c r="I41" s="26">
        <f t="shared" si="21"/>
        <v>-48800.353409999982</v>
      </c>
      <c r="J41" s="26">
        <f t="shared" si="21"/>
        <v>-62773.944109999997</v>
      </c>
      <c r="K41" s="26">
        <f t="shared" si="21"/>
        <v>-32447.368910000005</v>
      </c>
      <c r="L41" s="26">
        <f t="shared" si="21"/>
        <v>41173.467089999991</v>
      </c>
      <c r="M41" s="26">
        <f t="shared" si="21"/>
        <v>-9535.5297799999971</v>
      </c>
      <c r="N41" s="26">
        <f t="shared" si="21"/>
        <v>-89442.195709999884</v>
      </c>
    </row>
    <row r="42" spans="1:17" ht="23.25" customHeight="1" thickBot="1" x14ac:dyDescent="0.3">
      <c r="A42" s="19" t="s">
        <v>7</v>
      </c>
      <c r="B42" s="27">
        <f t="shared" ref="B42:N42" si="22">B6+B41</f>
        <v>-554001.85845000006</v>
      </c>
      <c r="C42" s="27">
        <f t="shared" si="22"/>
        <v>-560627.23544000008</v>
      </c>
      <c r="D42" s="27">
        <f t="shared" si="22"/>
        <v>-554591.32513000013</v>
      </c>
      <c r="E42" s="27">
        <f t="shared" si="22"/>
        <v>-542531.88662000012</v>
      </c>
      <c r="F42" s="27">
        <f t="shared" si="22"/>
        <v>-545055.74161000014</v>
      </c>
      <c r="G42" s="27">
        <f t="shared" si="22"/>
        <v>-517149.82680000016</v>
      </c>
      <c r="H42" s="27">
        <f t="shared" si="22"/>
        <v>-515068.96659000014</v>
      </c>
      <c r="I42" s="27">
        <f t="shared" si="22"/>
        <v>-563869.32000000007</v>
      </c>
      <c r="J42" s="27">
        <f t="shared" si="22"/>
        <v>-626643.26411000011</v>
      </c>
      <c r="K42" s="27">
        <f t="shared" si="22"/>
        <v>-659090.63302000007</v>
      </c>
      <c r="L42" s="27">
        <f t="shared" si="22"/>
        <v>-617917.16593000013</v>
      </c>
      <c r="M42" s="27">
        <f t="shared" si="22"/>
        <v>-627452.69571000012</v>
      </c>
      <c r="N42" s="27">
        <f t="shared" si="22"/>
        <v>-627452.69570999988</v>
      </c>
    </row>
    <row r="43" spans="1:17" ht="27" customHeight="1" thickBot="1" x14ac:dyDescent="0.3">
      <c r="A43" s="8" t="s">
        <v>11</v>
      </c>
      <c r="B43" s="28">
        <f>B7+B17-B8</f>
        <v>-449818.4</v>
      </c>
      <c r="C43" s="28">
        <f t="shared" ref="C43:N43" si="23">C7+C17-C8</f>
        <v>-468526.30000000005</v>
      </c>
      <c r="D43" s="28">
        <f t="shared" si="23"/>
        <v>-484904.11000000004</v>
      </c>
      <c r="E43" s="28">
        <f t="shared" si="23"/>
        <v>-491590.86000000004</v>
      </c>
      <c r="F43" s="28">
        <f t="shared" si="23"/>
        <v>-517526.16000000003</v>
      </c>
      <c r="G43" s="28">
        <f t="shared" si="23"/>
        <v>-511709.12000000005</v>
      </c>
      <c r="H43" s="28">
        <f t="shared" si="23"/>
        <v>-525269.26</v>
      </c>
      <c r="I43" s="28">
        <f t="shared" si="23"/>
        <v>-538753.08000000007</v>
      </c>
      <c r="J43" s="28">
        <f t="shared" si="23"/>
        <v>-519883.21000000008</v>
      </c>
      <c r="K43" s="28">
        <f t="shared" si="23"/>
        <v>-575130.04</v>
      </c>
      <c r="L43" s="28">
        <f t="shared" si="23"/>
        <v>-564214.35</v>
      </c>
      <c r="M43" s="28">
        <f t="shared" si="23"/>
        <v>-603815.04999999993</v>
      </c>
      <c r="N43" s="28">
        <f t="shared" si="23"/>
        <v>-603815.05000000005</v>
      </c>
    </row>
  </sheetData>
  <mergeCells count="2">
    <mergeCell ref="A1:N1"/>
    <mergeCell ref="A2:P2"/>
  </mergeCells>
  <phoneticPr fontId="5" type="noConversion"/>
  <pageMargins left="0.19685039370078741" right="0.19685039370078741" top="0.19685039370078741" bottom="0.19685039370078741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2023-03-01T02:46:54Z</cp:lastPrinted>
  <dcterms:created xsi:type="dcterms:W3CDTF">2011-06-06T03:25:48Z</dcterms:created>
  <dcterms:modified xsi:type="dcterms:W3CDTF">2023-03-21T02:49:30Z</dcterms:modified>
</cp:coreProperties>
</file>