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96" windowWidth="16152" windowHeight="10992"/>
  </bookViews>
  <sheets>
    <sheet name="2021" sheetId="1" r:id="rId1"/>
  </sheets>
  <calcPr calcId="144525" refMode="R1C1"/>
</workbook>
</file>

<file path=xl/calcChain.xml><?xml version="1.0" encoding="utf-8"?>
<calcChain xmlns="http://schemas.openxmlformats.org/spreadsheetml/2006/main">
  <c r="M39" i="1" l="1"/>
  <c r="L39" i="1" l="1"/>
  <c r="M38" i="1" l="1"/>
  <c r="L38" i="1" l="1"/>
  <c r="K38" i="1" l="1"/>
  <c r="K39" i="1" l="1"/>
  <c r="K30" i="1" l="1"/>
  <c r="M28" i="1" l="1"/>
  <c r="M16" i="1"/>
  <c r="M27" i="1"/>
  <c r="M7" i="1"/>
  <c r="C39" i="1" l="1"/>
  <c r="J34" i="1" l="1"/>
  <c r="K34" i="1"/>
  <c r="L34" i="1"/>
  <c r="M34" i="1"/>
  <c r="I34" i="1"/>
  <c r="C34" i="1"/>
  <c r="D34" i="1"/>
  <c r="E34" i="1"/>
  <c r="F34" i="1"/>
  <c r="G34" i="1"/>
  <c r="H34" i="1"/>
  <c r="B34" i="1"/>
  <c r="L28" i="1" l="1"/>
  <c r="L16" i="1"/>
  <c r="L27" i="1"/>
  <c r="L7" i="1"/>
  <c r="K28" i="1" l="1"/>
  <c r="K16" i="1"/>
  <c r="K27" i="1"/>
  <c r="K7" i="1"/>
  <c r="K29" i="1" l="1"/>
  <c r="L29" i="1"/>
  <c r="M29" i="1"/>
  <c r="K26" i="1"/>
  <c r="L26" i="1"/>
  <c r="M26" i="1"/>
  <c r="K25" i="1"/>
  <c r="L25" i="1"/>
  <c r="M25" i="1"/>
  <c r="I39" i="1" l="1"/>
  <c r="J38" i="1" l="1"/>
  <c r="I38" i="1" l="1"/>
  <c r="H38" i="1" l="1"/>
  <c r="J29" i="1" l="1"/>
  <c r="I29" i="1"/>
  <c r="J28" i="1" l="1"/>
  <c r="J16" i="1"/>
  <c r="J27" i="1"/>
  <c r="J7" i="1"/>
  <c r="H39" i="1" l="1"/>
  <c r="I28" i="1" l="1"/>
  <c r="I16" i="1"/>
  <c r="I27" i="1"/>
  <c r="I7" i="1"/>
  <c r="H28" i="1" l="1"/>
  <c r="H16" i="1"/>
  <c r="H27" i="1"/>
  <c r="H7" i="1"/>
  <c r="H26" i="1" l="1"/>
  <c r="I26" i="1"/>
  <c r="J26" i="1"/>
  <c r="H25" i="1"/>
  <c r="I25" i="1"/>
  <c r="J25" i="1"/>
  <c r="D16" i="1" l="1"/>
  <c r="D15" i="1" s="1"/>
  <c r="G39" i="1" l="1"/>
  <c r="G38" i="1" l="1"/>
  <c r="F38" i="1"/>
  <c r="E39" i="1" l="1"/>
  <c r="G28" i="1" l="1"/>
  <c r="G16" i="1"/>
  <c r="G27" i="1"/>
  <c r="G7" i="1"/>
  <c r="F28" i="1" l="1"/>
  <c r="F16" i="1"/>
  <c r="F27" i="1"/>
  <c r="F7" i="1"/>
  <c r="E28" i="1" l="1"/>
  <c r="E16" i="1"/>
  <c r="E27" i="1"/>
  <c r="E7" i="1"/>
  <c r="E26" i="1" l="1"/>
  <c r="F26" i="1"/>
  <c r="G26" i="1"/>
  <c r="E25" i="1"/>
  <c r="F25" i="1"/>
  <c r="G25" i="1"/>
  <c r="D38" i="1" l="1"/>
  <c r="D30" i="1" l="1"/>
  <c r="D39" i="1" l="1"/>
  <c r="D28" i="1" l="1"/>
  <c r="D27" i="1"/>
  <c r="D7" i="1"/>
  <c r="B39" i="1" l="1"/>
  <c r="C28" i="1" l="1"/>
  <c r="C16" i="1"/>
  <c r="C27" i="1"/>
  <c r="C7" i="1"/>
  <c r="B28" i="1" l="1"/>
  <c r="B16" i="1"/>
  <c r="B27" i="1"/>
  <c r="B7" i="1"/>
  <c r="C26" i="1" l="1"/>
  <c r="D26" i="1"/>
  <c r="C25" i="1"/>
  <c r="D25" i="1"/>
  <c r="B26" i="1"/>
  <c r="B25" i="1"/>
  <c r="B15" i="1"/>
  <c r="C15" i="1"/>
  <c r="C40" i="1" s="1"/>
  <c r="C41" i="1" s="1"/>
  <c r="E15" i="1"/>
  <c r="F15" i="1"/>
  <c r="G15" i="1"/>
  <c r="H15" i="1"/>
  <c r="I15" i="1"/>
  <c r="J15" i="1"/>
  <c r="K15" i="1"/>
  <c r="L15" i="1"/>
  <c r="M15" i="1"/>
  <c r="K40" i="1" l="1"/>
  <c r="K41" i="1" s="1"/>
  <c r="G40" i="1"/>
  <c r="G41" i="1" s="1"/>
  <c r="E40" i="1"/>
  <c r="N39" i="1"/>
  <c r="N28" i="1" l="1"/>
  <c r="N7" i="1"/>
  <c r="N26" i="1"/>
  <c r="N27" i="1"/>
  <c r="N29" i="1"/>
  <c r="N30" i="1"/>
  <c r="N31" i="1"/>
  <c r="N32" i="1"/>
  <c r="N33" i="1"/>
  <c r="N34" i="1"/>
  <c r="N35" i="1"/>
  <c r="N36" i="1"/>
  <c r="N37" i="1"/>
  <c r="N38" i="1"/>
  <c r="N25" i="1"/>
  <c r="N8" i="1"/>
  <c r="N9" i="1"/>
  <c r="N10" i="1"/>
  <c r="N11" i="1"/>
  <c r="N12" i="1"/>
  <c r="N13" i="1"/>
  <c r="N14" i="1"/>
  <c r="N22" i="1" l="1"/>
  <c r="N5" i="1" l="1"/>
  <c r="N4" i="1"/>
  <c r="M40" i="1" l="1"/>
  <c r="M41" i="1" s="1"/>
  <c r="L6" i="1"/>
  <c r="N17" i="1"/>
  <c r="N18" i="1"/>
  <c r="N19" i="1"/>
  <c r="N20" i="1"/>
  <c r="N21" i="1"/>
  <c r="N23" i="1"/>
  <c r="L40" i="1"/>
  <c r="L41" i="1" s="1"/>
  <c r="K6" i="1"/>
  <c r="M6" i="1"/>
  <c r="J6" i="1" l="1"/>
  <c r="I6" i="1"/>
  <c r="H40" i="1"/>
  <c r="H41" i="1" s="1"/>
  <c r="H6" i="1"/>
  <c r="I40" i="1" l="1"/>
  <c r="I41" i="1" s="1"/>
  <c r="J40" i="1"/>
  <c r="J41" i="1" s="1"/>
  <c r="F6" i="1" l="1"/>
  <c r="N16" i="1"/>
  <c r="D6" i="1"/>
  <c r="C6" i="1"/>
  <c r="B6" i="1"/>
  <c r="E6" i="1" l="1"/>
  <c r="F40" i="1"/>
  <c r="F41" i="1" s="1"/>
  <c r="G6" i="1"/>
  <c r="B43" i="1"/>
  <c r="C5" i="1" s="1"/>
  <c r="C43" i="1" s="1"/>
  <c r="D5" i="1" s="1"/>
  <c r="D43" i="1" s="1"/>
  <c r="E5" i="1" s="1"/>
  <c r="N6" i="1" l="1"/>
  <c r="N15" i="1"/>
  <c r="E43" i="1"/>
  <c r="F5" i="1" s="1"/>
  <c r="E41" i="1"/>
  <c r="B40" i="1"/>
  <c r="D40" i="1"/>
  <c r="D41" i="1" s="1"/>
  <c r="N43" i="1" l="1"/>
  <c r="N40" i="1"/>
  <c r="N41" i="1" s="1"/>
  <c r="N42" i="1" s="1"/>
  <c r="B41" i="1"/>
  <c r="B42" i="1" s="1"/>
  <c r="C4" i="1" s="1"/>
  <c r="C42" i="1" s="1"/>
  <c r="D4" i="1" s="1"/>
  <c r="D42" i="1" s="1"/>
  <c r="E4" i="1" s="1"/>
  <c r="F43" i="1" l="1"/>
  <c r="G5" i="1" s="1"/>
  <c r="G43" i="1" s="1"/>
  <c r="E42" i="1"/>
  <c r="F4" i="1" s="1"/>
  <c r="H5" i="1" l="1"/>
  <c r="H43" i="1" l="1"/>
  <c r="F42" i="1"/>
  <c r="I5" i="1" l="1"/>
  <c r="I43" i="1" s="1"/>
  <c r="G4" i="1"/>
  <c r="G42" i="1" s="1"/>
  <c r="J5" i="1" l="1"/>
  <c r="J43" i="1" s="1"/>
  <c r="H4" i="1"/>
  <c r="H42" i="1" s="1"/>
  <c r="I4" i="1" s="1"/>
  <c r="I42" i="1" s="1"/>
  <c r="J4" i="1" s="1"/>
  <c r="J42" i="1" l="1"/>
  <c r="K5" i="1"/>
  <c r="K43" i="1" s="1"/>
  <c r="L5" i="1" s="1"/>
  <c r="K4" i="1" l="1"/>
  <c r="K42" i="1" s="1"/>
  <c r="L4" i="1" s="1"/>
  <c r="L42" i="1" s="1"/>
  <c r="M4" i="1" s="1"/>
  <c r="M42" i="1" s="1"/>
  <c r="L43" i="1" l="1"/>
  <c r="M5" i="1" l="1"/>
  <c r="M43" i="1" s="1"/>
</calcChain>
</file>

<file path=xl/sharedStrings.xml><?xml version="1.0" encoding="utf-8"?>
<sst xmlns="http://schemas.openxmlformats.org/spreadsheetml/2006/main" count="56" uniqueCount="46">
  <si>
    <t>Наименование статей</t>
  </si>
  <si>
    <t>Аварийная служба</t>
  </si>
  <si>
    <t>ЕИРКЦ паспортная служба</t>
  </si>
  <si>
    <t>ЕИРКЦ услуги за начисление</t>
  </si>
  <si>
    <t>Система «Город» по приему платежей</t>
  </si>
  <si>
    <t>Экономия/перерасход (+,-)</t>
  </si>
  <si>
    <t>Услуги управляющей компании</t>
  </si>
  <si>
    <t>Накопительный счет</t>
  </si>
  <si>
    <t>Поступления за месяц, всего:</t>
  </si>
  <si>
    <t>Содержание и техобслуживание МКД</t>
  </si>
  <si>
    <t>Подрядные работы, текущий ремонт</t>
  </si>
  <si>
    <t>Задолженность по оплате (сальдо исходящее)</t>
  </si>
  <si>
    <t>Начисления за месяц, всего:</t>
  </si>
  <si>
    <t xml:space="preserve">Входящее сальдо по оплате на начало периода </t>
  </si>
  <si>
    <t>Средства на счете дома на начало периода</t>
  </si>
  <si>
    <t>ГВС на содержание ОИ</t>
  </si>
  <si>
    <t>ХВС на содержание ОИ</t>
  </si>
  <si>
    <t>Эл.энергия на содержание ОИ</t>
  </si>
  <si>
    <t>Расходы ГВС на содержание ОИ</t>
  </si>
  <si>
    <t>Расходы ХВС на содержание ОИ</t>
  </si>
  <si>
    <t>Расходы эл.энергия на содержание ОИ</t>
  </si>
  <si>
    <t>Итого расходы</t>
  </si>
  <si>
    <t>РАСХОДЫ</t>
  </si>
  <si>
    <t>Тех.обслуживание приборов учета</t>
  </si>
  <si>
    <t>Доход от использования общего имущества</t>
  </si>
  <si>
    <t>Комплексное обслуживание лифтов</t>
  </si>
  <si>
    <t>Вознаграждение, координация с советом МКД</t>
  </si>
  <si>
    <t>Отведение сточных вод на ОИ</t>
  </si>
  <si>
    <t xml:space="preserve">                       ООО "УК "Авангард"</t>
  </si>
  <si>
    <t>Периодическое техническое освидетельствование лифтов</t>
  </si>
  <si>
    <t>Установка пластиковых окон</t>
  </si>
  <si>
    <t>Содержание жилья и текущий ремонт,  ОПУ</t>
  </si>
  <si>
    <t>Январь 2021г.</t>
  </si>
  <si>
    <t>Февраль 2021г.</t>
  </si>
  <si>
    <t>Март 2021г.</t>
  </si>
  <si>
    <t>Апрель 2021г.</t>
  </si>
  <si>
    <t>Май 2021г.</t>
  </si>
  <si>
    <t>Июнь 2021г.</t>
  </si>
  <si>
    <t>Июль 2021г.</t>
  </si>
  <si>
    <t>Август 2021г.</t>
  </si>
  <si>
    <t>Сентябрь 2021г.</t>
  </si>
  <si>
    <t>Октябрь 2021г.</t>
  </si>
  <si>
    <t>Ноябрь 2021г.</t>
  </si>
  <si>
    <t>Декабрь 2021г.</t>
  </si>
  <si>
    <t>Всего:                       за  2021г.</t>
  </si>
  <si>
    <t xml:space="preserve">       ОТЧЕТ по дому Ударная, 92/1 за период 01.01.2021г. по 31.12.2021г.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</si>
</sst>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0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8"/>
      <name val="Arial Cyr"/>
      <charset val="204"/>
    </font>
    <font>
      <b/>
      <sz val="18"/>
      <name val="Times New Roman"/>
      <family val="1"/>
      <charset val="204"/>
    </font>
    <font>
      <sz val="18"/>
      <name val="Arial Cyr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1" fillId="4" borderId="3" xfId="0" applyFont="1" applyFill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0" fillId="0" borderId="0" xfId="0" applyAlignment="1">
      <alignment vertical="top"/>
    </xf>
    <xf numFmtId="164" fontId="7" fillId="2" borderId="4" xfId="0" applyNumberFormat="1" applyFont="1" applyFill="1" applyBorder="1" applyAlignment="1">
      <alignment horizontal="left" vertical="top" wrapText="1"/>
    </xf>
    <xf numFmtId="164" fontId="7" fillId="3" borderId="4" xfId="0" applyNumberFormat="1" applyFont="1" applyFill="1" applyBorder="1" applyAlignment="1">
      <alignment horizontal="left" vertical="top" wrapText="1"/>
    </xf>
    <xf numFmtId="164" fontId="6" fillId="0" borderId="4" xfId="0" applyNumberFormat="1" applyFont="1" applyBorder="1" applyAlignment="1">
      <alignment horizontal="left" vertical="top" wrapText="1"/>
    </xf>
    <xf numFmtId="164" fontId="7" fillId="4" borderId="4" xfId="0" applyNumberFormat="1" applyFont="1" applyFill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left" vertical="top" wrapText="1"/>
    </xf>
    <xf numFmtId="164" fontId="6" fillId="0" borderId="2" xfId="0" applyNumberFormat="1" applyFont="1" applyBorder="1" applyAlignment="1">
      <alignment horizontal="left" vertical="top" wrapText="1"/>
    </xf>
    <xf numFmtId="164" fontId="6" fillId="0" borderId="6" xfId="0" applyNumberFormat="1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left" vertical="top" wrapText="1"/>
    </xf>
    <xf numFmtId="164" fontId="7" fillId="0" borderId="4" xfId="0" applyNumberFormat="1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left" vertical="top"/>
    </xf>
    <xf numFmtId="164" fontId="6" fillId="0" borderId="4" xfId="0" applyNumberFormat="1" applyFont="1" applyBorder="1" applyAlignment="1">
      <alignment horizontal="left" vertical="top"/>
    </xf>
    <xf numFmtId="164" fontId="6" fillId="0" borderId="4" xfId="0" applyNumberFormat="1" applyFont="1" applyFill="1" applyBorder="1" applyAlignment="1">
      <alignment horizontal="left" vertical="top" wrapText="1"/>
    </xf>
    <xf numFmtId="0" fontId="8" fillId="0" borderId="0" xfId="0" applyFont="1" applyAlignment="1">
      <alignment horizontal="center"/>
    </xf>
    <xf numFmtId="0" fontId="9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tabSelected="1" topLeftCell="A28" zoomScale="75" workbookViewId="0">
      <selection activeCell="A11" sqref="A11:XFD16"/>
    </sheetView>
  </sheetViews>
  <sheetFormatPr defaultRowHeight="13.2" x14ac:dyDescent="0.25"/>
  <cols>
    <col min="1" max="1" width="58.6640625" customWidth="1"/>
    <col min="2" max="2" width="14.33203125" customWidth="1"/>
    <col min="3" max="3" width="14.109375" customWidth="1"/>
    <col min="4" max="4" width="15.33203125" customWidth="1"/>
    <col min="5" max="6" width="14.109375" customWidth="1"/>
    <col min="7" max="7" width="16.33203125" customWidth="1"/>
    <col min="8" max="8" width="15" customWidth="1"/>
    <col min="9" max="9" width="15.6640625" customWidth="1"/>
    <col min="10" max="13" width="16.5546875" customWidth="1"/>
    <col min="14" max="14" width="15.88671875" customWidth="1"/>
  </cols>
  <sheetData>
    <row r="1" spans="1:20" ht="20.399999999999999" x14ac:dyDescent="0.35">
      <c r="A1" s="22" t="s">
        <v>28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20" ht="20.25" customHeight="1" thickBot="1" x14ac:dyDescent="0.45">
      <c r="A2" s="24" t="s">
        <v>45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20" ht="38.25" customHeight="1" thickBot="1" x14ac:dyDescent="0.3">
      <c r="A3" s="1" t="s">
        <v>0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41</v>
      </c>
      <c r="L3" s="2" t="s">
        <v>42</v>
      </c>
      <c r="M3" s="2" t="s">
        <v>43</v>
      </c>
      <c r="N3" s="2" t="s">
        <v>44</v>
      </c>
    </row>
    <row r="4" spans="1:20" ht="23.25" customHeight="1" thickBot="1" x14ac:dyDescent="0.3">
      <c r="A4" s="3" t="s">
        <v>14</v>
      </c>
      <c r="B4" s="10">
        <v>-517607.06</v>
      </c>
      <c r="C4" s="10">
        <f t="shared" ref="C4" si="0">B42</f>
        <v>-504403.86499999999</v>
      </c>
      <c r="D4" s="10">
        <f t="shared" ref="D4:D5" si="1">C42</f>
        <v>-470185.00635000004</v>
      </c>
      <c r="E4" s="10">
        <f t="shared" ref="E4:E5" si="2">D42</f>
        <v>-433972.93995000003</v>
      </c>
      <c r="F4" s="10">
        <f>E42</f>
        <v>-442452.58924</v>
      </c>
      <c r="G4" s="10">
        <f t="shared" ref="G4:G5" si="3">F42</f>
        <v>-407374.49291000003</v>
      </c>
      <c r="H4" s="10">
        <f t="shared" ref="H4:H5" si="4">G42</f>
        <v>-371148.36057999998</v>
      </c>
      <c r="I4" s="10">
        <f t="shared" ref="I4:I5" si="5">H42</f>
        <v>-347903.79144000006</v>
      </c>
      <c r="J4" s="10">
        <f t="shared" ref="J4:J5" si="6">I42</f>
        <v>-367768.92621000006</v>
      </c>
      <c r="K4" s="10">
        <f>J42</f>
        <v>-338125.44756000012</v>
      </c>
      <c r="L4" s="10">
        <f t="shared" ref="L4:M5" si="7">K42</f>
        <v>-406346.32658000011</v>
      </c>
      <c r="M4" s="10">
        <f t="shared" si="7"/>
        <v>-410393.51769000012</v>
      </c>
      <c r="N4" s="10">
        <f>B4</f>
        <v>-517607.06</v>
      </c>
    </row>
    <row r="5" spans="1:20" ht="21" customHeight="1" thickBot="1" x14ac:dyDescent="0.3">
      <c r="A5" s="3" t="s">
        <v>13</v>
      </c>
      <c r="B5" s="10">
        <v>-550007.36</v>
      </c>
      <c r="C5" s="10">
        <f>B43</f>
        <v>-561093.65</v>
      </c>
      <c r="D5" s="10">
        <f t="shared" si="1"/>
        <v>-575741.34000000008</v>
      </c>
      <c r="E5" s="10">
        <f t="shared" si="2"/>
        <v>-562791.56000000006</v>
      </c>
      <c r="F5" s="10">
        <f>E43</f>
        <v>-572697.05000000005</v>
      </c>
      <c r="G5" s="10">
        <f t="shared" si="3"/>
        <v>-570881.71000000008</v>
      </c>
      <c r="H5" s="10">
        <f t="shared" si="4"/>
        <v>-563878.96000000008</v>
      </c>
      <c r="I5" s="10">
        <f t="shared" si="5"/>
        <v>-560196.33000000007</v>
      </c>
      <c r="J5" s="10">
        <f t="shared" si="6"/>
        <v>-571752.87000000011</v>
      </c>
      <c r="K5" s="10">
        <f t="shared" ref="K5" si="8">J43</f>
        <v>-586864.1100000001</v>
      </c>
      <c r="L5" s="10">
        <f t="shared" si="7"/>
        <v>-556676.51000000013</v>
      </c>
      <c r="M5" s="10">
        <f t="shared" si="7"/>
        <v>-583966.79</v>
      </c>
      <c r="N5" s="10">
        <f>B5</f>
        <v>-550007.36</v>
      </c>
    </row>
    <row r="6" spans="1:20" ht="20.25" customHeight="1" thickBot="1" x14ac:dyDescent="0.3">
      <c r="A6" s="4" t="s">
        <v>12</v>
      </c>
      <c r="B6" s="11">
        <f>SUM(B7:B14)</f>
        <v>167607.90000000002</v>
      </c>
      <c r="C6" s="11">
        <f>SUM(C7:C14)</f>
        <v>180004.85000000003</v>
      </c>
      <c r="D6" s="11">
        <f>SUM(D7:D14)</f>
        <v>166568.40000000002</v>
      </c>
      <c r="E6" s="11">
        <f t="shared" ref="E6:M6" si="9">SUM(E7:E14)</f>
        <v>177145.83000000002</v>
      </c>
      <c r="F6" s="11">
        <f t="shared" si="9"/>
        <v>166312.99000000002</v>
      </c>
      <c r="G6" s="11">
        <f t="shared" si="9"/>
        <v>170421.89</v>
      </c>
      <c r="H6" s="11">
        <f t="shared" si="9"/>
        <v>177350.31999999998</v>
      </c>
      <c r="I6" s="11">
        <f t="shared" si="9"/>
        <v>191031.49</v>
      </c>
      <c r="J6" s="11">
        <f t="shared" si="9"/>
        <v>195046.34999999998</v>
      </c>
      <c r="K6" s="11">
        <f t="shared" si="9"/>
        <v>191167.34</v>
      </c>
      <c r="L6" s="11">
        <f t="shared" si="9"/>
        <v>208174.66999999998</v>
      </c>
      <c r="M6" s="11">
        <f t="shared" si="9"/>
        <v>187632.72</v>
      </c>
      <c r="N6" s="11">
        <f>SUM(B6:M6)</f>
        <v>2178464.75</v>
      </c>
    </row>
    <row r="7" spans="1:20" ht="24.75" customHeight="1" thickBot="1" x14ac:dyDescent="0.3">
      <c r="A7" s="8" t="s">
        <v>31</v>
      </c>
      <c r="B7" s="12">
        <f t="shared" ref="B7:G7" si="10">148839.37+394.89+1184.07</f>
        <v>150418.33000000002</v>
      </c>
      <c r="C7" s="12">
        <f t="shared" si="10"/>
        <v>150418.33000000002</v>
      </c>
      <c r="D7" s="12">
        <f t="shared" si="10"/>
        <v>150418.33000000002</v>
      </c>
      <c r="E7" s="12">
        <f t="shared" si="10"/>
        <v>150418.33000000002</v>
      </c>
      <c r="F7" s="12">
        <f t="shared" si="10"/>
        <v>150418.33000000002</v>
      </c>
      <c r="G7" s="12">
        <f t="shared" si="10"/>
        <v>150418.33000000002</v>
      </c>
      <c r="H7" s="12">
        <f>148839.37+394.89+1184.07</f>
        <v>150418.33000000002</v>
      </c>
      <c r="I7" s="12">
        <f>164544.33+394.89+1184.07</f>
        <v>166123.29</v>
      </c>
      <c r="J7" s="12">
        <f>164544.33+394.89+1184.07</f>
        <v>166123.29</v>
      </c>
      <c r="K7" s="12">
        <f>164544.33+394.89+1184.07</f>
        <v>166123.29</v>
      </c>
      <c r="L7" s="12">
        <f>164544.33+394.89+1184.07</f>
        <v>166123.29</v>
      </c>
      <c r="M7" s="12">
        <f>164544.33+394.89+1184.07</f>
        <v>166123.29</v>
      </c>
      <c r="N7" s="12">
        <f>SUM(B7:M7)</f>
        <v>1883544.7600000005</v>
      </c>
    </row>
    <row r="8" spans="1:20" ht="24.75" customHeight="1" thickBot="1" x14ac:dyDescent="0.3">
      <c r="A8" s="8" t="s">
        <v>15</v>
      </c>
      <c r="B8" s="12">
        <v>0</v>
      </c>
      <c r="C8" s="12">
        <v>0</v>
      </c>
      <c r="D8" s="12">
        <v>0</v>
      </c>
      <c r="E8" s="12">
        <v>10938.15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8559.0400000000009</v>
      </c>
      <c r="M8" s="12">
        <v>0</v>
      </c>
      <c r="N8" s="12">
        <f t="shared" ref="N8:N14" si="11">SUM(B8:M8)</f>
        <v>19497.190000000002</v>
      </c>
    </row>
    <row r="9" spans="1:20" ht="21.75" customHeight="1" thickBot="1" x14ac:dyDescent="0.3">
      <c r="A9" s="8" t="s">
        <v>16</v>
      </c>
      <c r="B9" s="12">
        <v>657.68</v>
      </c>
      <c r="C9" s="12">
        <v>657.68</v>
      </c>
      <c r="D9" s="12">
        <v>657.68</v>
      </c>
      <c r="E9" s="12">
        <v>-927.95</v>
      </c>
      <c r="F9" s="12">
        <v>657.68</v>
      </c>
      <c r="G9" s="12">
        <v>657.68</v>
      </c>
      <c r="H9" s="12">
        <v>657.68</v>
      </c>
      <c r="I9" s="12">
        <v>698.09</v>
      </c>
      <c r="J9" s="12">
        <v>698.09</v>
      </c>
      <c r="K9" s="12">
        <v>698.09</v>
      </c>
      <c r="L9" s="12">
        <v>698.09</v>
      </c>
      <c r="M9" s="12">
        <v>698.09</v>
      </c>
      <c r="N9" s="12">
        <f t="shared" si="11"/>
        <v>6508.58</v>
      </c>
    </row>
    <row r="10" spans="1:20" ht="22.5" customHeight="1" thickBot="1" x14ac:dyDescent="0.3">
      <c r="A10" s="8" t="s">
        <v>17</v>
      </c>
      <c r="B10" s="12">
        <v>6989.5</v>
      </c>
      <c r="C10" s="12">
        <v>19386.45</v>
      </c>
      <c r="D10" s="12">
        <v>5950</v>
      </c>
      <c r="E10" s="12">
        <v>7174.91</v>
      </c>
      <c r="F10" s="12">
        <v>5694.59</v>
      </c>
      <c r="G10" s="12">
        <v>9803.49</v>
      </c>
      <c r="H10" s="12">
        <v>9110.61</v>
      </c>
      <c r="I10" s="12">
        <v>7046.41</v>
      </c>
      <c r="J10" s="12">
        <v>11061.27</v>
      </c>
      <c r="K10" s="12">
        <v>7182.26</v>
      </c>
      <c r="L10" s="12">
        <v>15630.55</v>
      </c>
      <c r="M10" s="12">
        <v>47.64</v>
      </c>
      <c r="N10" s="12">
        <f t="shared" si="11"/>
        <v>105077.68</v>
      </c>
    </row>
    <row r="11" spans="1:20" ht="22.5" customHeight="1" thickBot="1" x14ac:dyDescent="0.3">
      <c r="A11" s="8" t="s">
        <v>27</v>
      </c>
      <c r="B11" s="12">
        <v>940.63</v>
      </c>
      <c r="C11" s="12">
        <v>940.63</v>
      </c>
      <c r="D11" s="12">
        <v>940.63</v>
      </c>
      <c r="E11" s="12">
        <v>940.63</v>
      </c>
      <c r="F11" s="12">
        <v>940.63</v>
      </c>
      <c r="G11" s="12">
        <v>940.63</v>
      </c>
      <c r="H11" s="12">
        <v>957.3</v>
      </c>
      <c r="I11" s="12">
        <v>957.3</v>
      </c>
      <c r="J11" s="12">
        <v>957.3</v>
      </c>
      <c r="K11" s="12">
        <v>957.3</v>
      </c>
      <c r="L11" s="12">
        <v>957.3</v>
      </c>
      <c r="M11" s="12">
        <v>957.3</v>
      </c>
      <c r="N11" s="12">
        <f t="shared" si="11"/>
        <v>11387.579999999998</v>
      </c>
    </row>
    <row r="12" spans="1:20" ht="22.5" customHeight="1" thickBot="1" x14ac:dyDescent="0.3">
      <c r="A12" s="8" t="s">
        <v>26</v>
      </c>
      <c r="B12" s="12">
        <v>7601.76</v>
      </c>
      <c r="C12" s="12">
        <v>7601.76</v>
      </c>
      <c r="D12" s="12">
        <v>7601.76</v>
      </c>
      <c r="E12" s="12">
        <v>7601.76</v>
      </c>
      <c r="F12" s="12">
        <v>7601.76</v>
      </c>
      <c r="G12" s="12">
        <v>7601.76</v>
      </c>
      <c r="H12" s="21">
        <v>15206.4</v>
      </c>
      <c r="I12" s="12">
        <v>15206.4</v>
      </c>
      <c r="J12" s="12">
        <v>15206.4</v>
      </c>
      <c r="K12" s="12">
        <v>15206.4</v>
      </c>
      <c r="L12" s="12">
        <v>15206.4</v>
      </c>
      <c r="M12" s="12">
        <v>15206.4</v>
      </c>
      <c r="N12" s="12">
        <f t="shared" si="11"/>
        <v>136848.95999999999</v>
      </c>
    </row>
    <row r="13" spans="1:20" ht="22.5" customHeight="1" thickBot="1" x14ac:dyDescent="0.3">
      <c r="A13" s="8" t="s">
        <v>30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f t="shared" si="11"/>
        <v>0</v>
      </c>
    </row>
    <row r="14" spans="1:20" ht="22.5" customHeight="1" thickBot="1" x14ac:dyDescent="0.3">
      <c r="A14" s="8" t="s">
        <v>24</v>
      </c>
      <c r="B14" s="12">
        <v>1000</v>
      </c>
      <c r="C14" s="12">
        <v>1000</v>
      </c>
      <c r="D14" s="12">
        <v>1000</v>
      </c>
      <c r="E14" s="12">
        <v>1000</v>
      </c>
      <c r="F14" s="12">
        <v>1000</v>
      </c>
      <c r="G14" s="12">
        <v>1000</v>
      </c>
      <c r="H14" s="12">
        <v>1000</v>
      </c>
      <c r="I14" s="12">
        <v>1000</v>
      </c>
      <c r="J14" s="12">
        <v>1000</v>
      </c>
      <c r="K14" s="12">
        <v>1000</v>
      </c>
      <c r="L14" s="12">
        <v>1000</v>
      </c>
      <c r="M14" s="12">
        <v>4600</v>
      </c>
      <c r="N14" s="12">
        <f t="shared" si="11"/>
        <v>15600</v>
      </c>
    </row>
    <row r="15" spans="1:20" ht="20.25" customHeight="1" thickBot="1" x14ac:dyDescent="0.3">
      <c r="A15" s="6" t="s">
        <v>8</v>
      </c>
      <c r="B15" s="13">
        <f>SUM(B16:B23)</f>
        <v>156521.61000000002</v>
      </c>
      <c r="C15" s="13">
        <f>SUM(C16:C23)</f>
        <v>165357.15999999997</v>
      </c>
      <c r="D15" s="13">
        <f>SUM(D16:D23)</f>
        <v>179518.18</v>
      </c>
      <c r="E15" s="13">
        <f t="shared" ref="E15:M15" si="12">SUM(E16:E23)</f>
        <v>167240.34000000003</v>
      </c>
      <c r="F15" s="13">
        <f t="shared" si="12"/>
        <v>168128.33</v>
      </c>
      <c r="G15" s="13">
        <f t="shared" si="12"/>
        <v>177424.64000000001</v>
      </c>
      <c r="H15" s="13">
        <f t="shared" si="12"/>
        <v>181032.94999999995</v>
      </c>
      <c r="I15" s="13">
        <f t="shared" si="12"/>
        <v>179474.95</v>
      </c>
      <c r="J15" s="13">
        <f t="shared" si="12"/>
        <v>179935.11</v>
      </c>
      <c r="K15" s="13">
        <f t="shared" si="12"/>
        <v>221354.94</v>
      </c>
      <c r="L15" s="13">
        <f t="shared" si="12"/>
        <v>180884.39</v>
      </c>
      <c r="M15" s="13">
        <f t="shared" si="12"/>
        <v>203419.77</v>
      </c>
      <c r="N15" s="13">
        <f>SUM(B15:M15)</f>
        <v>2160292.37</v>
      </c>
      <c r="T15" s="9"/>
    </row>
    <row r="16" spans="1:20" ht="24" customHeight="1" thickBot="1" x14ac:dyDescent="0.3">
      <c r="A16" s="8" t="s">
        <v>31</v>
      </c>
      <c r="B16" s="12">
        <f>135753.83+352.47+9.39+1049.78</f>
        <v>137165.47</v>
      </c>
      <c r="C16" s="12">
        <f>147365.87+372.53+1123.83</f>
        <v>148862.22999999998</v>
      </c>
      <c r="D16" s="12">
        <f>148932.6+392.45+1186</f>
        <v>150511.05000000002</v>
      </c>
      <c r="E16" s="12">
        <f>148868.53+369.6+1126.51</f>
        <v>150364.64000000001</v>
      </c>
      <c r="F16" s="12">
        <f>142070.42+357.32+4.15+1078.24</f>
        <v>143510.13</v>
      </c>
      <c r="G16" s="12">
        <f>157776.63+375.67+11.99+1133.2</f>
        <v>159297.49000000002</v>
      </c>
      <c r="H16" s="12">
        <f>155365+379.77+11.55+1135.55</f>
        <v>156891.86999999997</v>
      </c>
      <c r="I16" s="12">
        <f>150367.79+474.95+3.87+1426.13</f>
        <v>152272.74000000002</v>
      </c>
      <c r="J16" s="12">
        <f>154837.49+466.86+98.59+1406.93</f>
        <v>156809.86999999997</v>
      </c>
      <c r="K16" s="12">
        <f>186419.64+572.43+139.99+1623.32</f>
        <v>188755.38</v>
      </c>
      <c r="L16" s="12">
        <f>155137.53+373.42+178.24+1126.55</f>
        <v>156815.74</v>
      </c>
      <c r="M16" s="12">
        <f>159612.43+372.1+6.18+1122.5</f>
        <v>161113.21</v>
      </c>
      <c r="N16" s="12">
        <f>SUM(B16:M16)</f>
        <v>1862369.82</v>
      </c>
    </row>
    <row r="17" spans="1:14" ht="26.25" customHeight="1" thickBot="1" x14ac:dyDescent="0.3">
      <c r="A17" s="8" t="s">
        <v>15</v>
      </c>
      <c r="B17" s="12">
        <v>4.78</v>
      </c>
      <c r="C17" s="12">
        <v>12.77</v>
      </c>
      <c r="D17" s="12">
        <v>20.11</v>
      </c>
      <c r="E17" s="12">
        <v>58.01</v>
      </c>
      <c r="F17" s="12">
        <v>9487.74</v>
      </c>
      <c r="G17" s="12">
        <v>907.79</v>
      </c>
      <c r="H17" s="12">
        <v>138.08000000000001</v>
      </c>
      <c r="I17" s="12">
        <v>116.79</v>
      </c>
      <c r="J17" s="12">
        <v>24.28</v>
      </c>
      <c r="K17" s="12">
        <v>143.28</v>
      </c>
      <c r="L17" s="12">
        <v>397.19</v>
      </c>
      <c r="M17" s="12">
        <v>7866.98</v>
      </c>
      <c r="N17" s="12">
        <f t="shared" ref="N17:N23" si="13">SUM(B17:M17)</f>
        <v>19177.800000000003</v>
      </c>
    </row>
    <row r="18" spans="1:14" ht="26.25" customHeight="1" thickBot="1" x14ac:dyDescent="0.3">
      <c r="A18" s="8" t="s">
        <v>16</v>
      </c>
      <c r="B18" s="12">
        <v>586.09</v>
      </c>
      <c r="C18" s="12">
        <v>651.87</v>
      </c>
      <c r="D18" s="12">
        <v>661.6</v>
      </c>
      <c r="E18" s="12">
        <v>-187.79</v>
      </c>
      <c r="F18" s="12">
        <v>22.22</v>
      </c>
      <c r="G18" s="12">
        <v>110.03</v>
      </c>
      <c r="H18" s="12">
        <v>426.34</v>
      </c>
      <c r="I18" s="12">
        <v>648.36</v>
      </c>
      <c r="J18" s="12">
        <v>667.91</v>
      </c>
      <c r="K18" s="12">
        <v>790.07</v>
      </c>
      <c r="L18" s="12">
        <v>666.37</v>
      </c>
      <c r="M18" s="12">
        <v>675.86</v>
      </c>
      <c r="N18" s="12">
        <f t="shared" si="13"/>
        <v>5718.9299999999994</v>
      </c>
    </row>
    <row r="19" spans="1:14" ht="24" customHeight="1" thickBot="1" x14ac:dyDescent="0.3">
      <c r="A19" s="8" t="s">
        <v>17</v>
      </c>
      <c r="B19" s="14">
        <v>10900.06</v>
      </c>
      <c r="C19" s="15">
        <v>7319.42</v>
      </c>
      <c r="D19" s="15">
        <v>17703.419999999998</v>
      </c>
      <c r="E19" s="15">
        <v>6613.57</v>
      </c>
      <c r="F19" s="15">
        <v>6675.14</v>
      </c>
      <c r="G19" s="15">
        <v>6705.87</v>
      </c>
      <c r="H19" s="12">
        <v>9839.89</v>
      </c>
      <c r="I19" s="12">
        <v>9074.2800000000007</v>
      </c>
      <c r="J19" s="12">
        <v>6676.95</v>
      </c>
      <c r="K19" s="12">
        <v>11856.41</v>
      </c>
      <c r="L19" s="12">
        <v>6912.37</v>
      </c>
      <c r="M19" s="12">
        <v>14634.59</v>
      </c>
      <c r="N19" s="12">
        <f t="shared" si="13"/>
        <v>114911.96999999999</v>
      </c>
    </row>
    <row r="20" spans="1:14" ht="24" customHeight="1" thickBot="1" x14ac:dyDescent="0.3">
      <c r="A20" s="8" t="s">
        <v>27</v>
      </c>
      <c r="B20" s="16">
        <v>835.45</v>
      </c>
      <c r="C20" s="16">
        <v>931.41</v>
      </c>
      <c r="D20" s="16">
        <v>922.89</v>
      </c>
      <c r="E20" s="16">
        <v>944.87</v>
      </c>
      <c r="F20" s="16">
        <v>868.5</v>
      </c>
      <c r="G20" s="16">
        <v>1033.06</v>
      </c>
      <c r="H20" s="14">
        <v>986.79</v>
      </c>
      <c r="I20" s="15">
        <v>957.1</v>
      </c>
      <c r="J20" s="15">
        <v>907.24</v>
      </c>
      <c r="K20" s="12">
        <v>1096.8</v>
      </c>
      <c r="L20" s="12">
        <v>906.17</v>
      </c>
      <c r="M20" s="12">
        <v>921.38</v>
      </c>
      <c r="N20" s="12">
        <f t="shared" si="13"/>
        <v>11311.66</v>
      </c>
    </row>
    <row r="21" spans="1:14" ht="24" customHeight="1" thickBot="1" x14ac:dyDescent="0.3">
      <c r="A21" s="8" t="s">
        <v>26</v>
      </c>
      <c r="B21" s="14">
        <v>6666.97</v>
      </c>
      <c r="C21" s="15">
        <v>7231.96</v>
      </c>
      <c r="D21" s="15">
        <v>7599.11</v>
      </c>
      <c r="E21" s="14">
        <v>7849.19</v>
      </c>
      <c r="F21" s="15">
        <v>6958.52</v>
      </c>
      <c r="G21" s="15">
        <v>7220.4</v>
      </c>
      <c r="H21" s="12">
        <v>7549.98</v>
      </c>
      <c r="I21" s="12">
        <v>15659.08</v>
      </c>
      <c r="J21" s="12">
        <v>14698.86</v>
      </c>
      <c r="K21" s="12">
        <v>17613</v>
      </c>
      <c r="L21" s="12">
        <v>14052.67</v>
      </c>
      <c r="M21" s="12">
        <v>14507.75</v>
      </c>
      <c r="N21" s="12">
        <f t="shared" si="13"/>
        <v>127607.49</v>
      </c>
    </row>
    <row r="22" spans="1:14" ht="24" customHeight="1" thickBot="1" x14ac:dyDescent="0.3">
      <c r="A22" s="8" t="s">
        <v>30</v>
      </c>
      <c r="B22" s="14">
        <v>262.79000000000002</v>
      </c>
      <c r="C22" s="14">
        <v>247.5</v>
      </c>
      <c r="D22" s="14">
        <v>200</v>
      </c>
      <c r="E22" s="14">
        <v>1497.85</v>
      </c>
      <c r="F22" s="14">
        <v>506.08</v>
      </c>
      <c r="G22" s="14">
        <v>250</v>
      </c>
      <c r="H22" s="14">
        <v>300</v>
      </c>
      <c r="I22" s="12">
        <v>646.6</v>
      </c>
      <c r="J22" s="12">
        <v>50</v>
      </c>
      <c r="K22" s="12">
        <v>1000</v>
      </c>
      <c r="L22" s="12">
        <v>1033.8800000000001</v>
      </c>
      <c r="M22" s="12">
        <v>0</v>
      </c>
      <c r="N22" s="12">
        <f t="shared" si="13"/>
        <v>5994.7</v>
      </c>
    </row>
    <row r="23" spans="1:14" ht="24" customHeight="1" thickBot="1" x14ac:dyDescent="0.3">
      <c r="A23" s="8" t="s">
        <v>24</v>
      </c>
      <c r="B23" s="14">
        <v>100</v>
      </c>
      <c r="C23" s="14">
        <v>100</v>
      </c>
      <c r="D23" s="14">
        <v>1900</v>
      </c>
      <c r="E23" s="14">
        <v>100</v>
      </c>
      <c r="F23" s="14">
        <v>100</v>
      </c>
      <c r="G23" s="14">
        <v>1900</v>
      </c>
      <c r="H23" s="12">
        <v>4900</v>
      </c>
      <c r="I23" s="12">
        <v>100</v>
      </c>
      <c r="J23" s="12">
        <v>100</v>
      </c>
      <c r="K23" s="12">
        <v>100</v>
      </c>
      <c r="L23" s="12">
        <v>100</v>
      </c>
      <c r="M23" s="12">
        <v>3700</v>
      </c>
      <c r="N23" s="12">
        <f t="shared" si="13"/>
        <v>13200</v>
      </c>
    </row>
    <row r="24" spans="1:14" ht="21.75" customHeight="1" thickBot="1" x14ac:dyDescent="0.3">
      <c r="A24" s="7" t="s">
        <v>22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8"/>
    </row>
    <row r="25" spans="1:14" ht="19.5" customHeight="1" thickBot="1" x14ac:dyDescent="0.3">
      <c r="A25" s="8" t="s">
        <v>1</v>
      </c>
      <c r="B25" s="12">
        <f t="shared" ref="B25:M25" si="14">7890.9*0.55</f>
        <v>4339.9949999999999</v>
      </c>
      <c r="C25" s="12">
        <f t="shared" si="14"/>
        <v>4339.9949999999999</v>
      </c>
      <c r="D25" s="12">
        <f t="shared" si="14"/>
        <v>4339.9949999999999</v>
      </c>
      <c r="E25" s="12">
        <f t="shared" si="14"/>
        <v>4339.9949999999999</v>
      </c>
      <c r="F25" s="12">
        <f t="shared" si="14"/>
        <v>4339.9949999999999</v>
      </c>
      <c r="G25" s="12">
        <f t="shared" si="14"/>
        <v>4339.9949999999999</v>
      </c>
      <c r="H25" s="12">
        <f t="shared" si="14"/>
        <v>4339.9949999999999</v>
      </c>
      <c r="I25" s="12">
        <f t="shared" si="14"/>
        <v>4339.9949999999999</v>
      </c>
      <c r="J25" s="12">
        <f t="shared" si="14"/>
        <v>4339.9949999999999</v>
      </c>
      <c r="K25" s="12">
        <f t="shared" si="14"/>
        <v>4339.9949999999999</v>
      </c>
      <c r="L25" s="12">
        <f t="shared" si="14"/>
        <v>4339.9949999999999</v>
      </c>
      <c r="M25" s="12">
        <f t="shared" si="14"/>
        <v>4339.9949999999999</v>
      </c>
      <c r="N25" s="12">
        <f>SUM(B25:M25)</f>
        <v>52079.94000000001</v>
      </c>
    </row>
    <row r="26" spans="1:14" ht="22.5" customHeight="1" thickBot="1" x14ac:dyDescent="0.3">
      <c r="A26" s="8" t="s">
        <v>2</v>
      </c>
      <c r="B26" s="12">
        <f t="shared" ref="B26:M26" si="15">7890.9*0.17</f>
        <v>1341.453</v>
      </c>
      <c r="C26" s="12">
        <f t="shared" si="15"/>
        <v>1341.453</v>
      </c>
      <c r="D26" s="12">
        <f t="shared" si="15"/>
        <v>1341.453</v>
      </c>
      <c r="E26" s="12">
        <f t="shared" si="15"/>
        <v>1341.453</v>
      </c>
      <c r="F26" s="12">
        <f t="shared" si="15"/>
        <v>1341.453</v>
      </c>
      <c r="G26" s="12">
        <f t="shared" si="15"/>
        <v>1341.453</v>
      </c>
      <c r="H26" s="12">
        <f t="shared" si="15"/>
        <v>1341.453</v>
      </c>
      <c r="I26" s="12">
        <f t="shared" si="15"/>
        <v>1341.453</v>
      </c>
      <c r="J26" s="12">
        <f t="shared" si="15"/>
        <v>1341.453</v>
      </c>
      <c r="K26" s="12">
        <f t="shared" si="15"/>
        <v>1341.453</v>
      </c>
      <c r="L26" s="12">
        <f t="shared" si="15"/>
        <v>1341.453</v>
      </c>
      <c r="M26" s="12">
        <f t="shared" si="15"/>
        <v>1341.453</v>
      </c>
      <c r="N26" s="12">
        <f t="shared" ref="N26:N38" si="16">SUM(B26:M26)</f>
        <v>16097.435999999996</v>
      </c>
    </row>
    <row r="27" spans="1:14" ht="21" customHeight="1" thickBot="1" x14ac:dyDescent="0.3">
      <c r="A27" s="8" t="s">
        <v>3</v>
      </c>
      <c r="B27" s="12">
        <f>166607.9*2.3%</f>
        <v>3831.9816999999998</v>
      </c>
      <c r="C27" s="12">
        <f>179004.85*2.3%</f>
        <v>4117.1115499999996</v>
      </c>
      <c r="D27" s="12">
        <f>165568.4*2.3%</f>
        <v>3808.0731999999998</v>
      </c>
      <c r="E27" s="12">
        <f>176145.83*2.3%</f>
        <v>4051.3540899999998</v>
      </c>
      <c r="F27" s="12">
        <f>165312.99*2.3%</f>
        <v>3802.1987699999995</v>
      </c>
      <c r="G27" s="12">
        <f>169421.89*2.3%</f>
        <v>3896.7034700000004</v>
      </c>
      <c r="H27" s="12">
        <f>176350.32*2.3%</f>
        <v>4056.0573600000002</v>
      </c>
      <c r="I27" s="12">
        <f>190031.49*2.3%</f>
        <v>4370.7242699999997</v>
      </c>
      <c r="J27" s="12">
        <f>194046.35*2.3%</f>
        <v>4463.0660500000004</v>
      </c>
      <c r="K27" s="12">
        <f>190167.34*2.3%</f>
        <v>4373.8488200000002</v>
      </c>
      <c r="L27" s="12">
        <f>207174.67*2.3%</f>
        <v>4765.0174100000004</v>
      </c>
      <c r="M27" s="12">
        <f>183032.72*2.3%</f>
        <v>4209.7525599999999</v>
      </c>
      <c r="N27" s="12">
        <f t="shared" si="16"/>
        <v>49745.88925</v>
      </c>
    </row>
    <row r="28" spans="1:14" ht="23.25" customHeight="1" thickBot="1" x14ac:dyDescent="0.3">
      <c r="A28" s="8" t="s">
        <v>4</v>
      </c>
      <c r="B28" s="20">
        <f>156421.61*3%</f>
        <v>4692.6482999999998</v>
      </c>
      <c r="C28" s="12">
        <f>165257.16*3%</f>
        <v>4957.7147999999997</v>
      </c>
      <c r="D28" s="19">
        <f>177618.18*3%</f>
        <v>5328.5454</v>
      </c>
      <c r="E28" s="20">
        <f>167140.34*3%</f>
        <v>5014.2101999999995</v>
      </c>
      <c r="F28" s="20">
        <f>168028.33*3%</f>
        <v>5040.8498999999993</v>
      </c>
      <c r="G28" s="20">
        <f>175524.64*3%</f>
        <v>5265.7392</v>
      </c>
      <c r="H28" s="20">
        <f>176132.95*3%</f>
        <v>5283.9885000000004</v>
      </c>
      <c r="I28" s="20">
        <f>179374.95*3%</f>
        <v>5381.2485000000006</v>
      </c>
      <c r="J28" s="20">
        <f>179835.11*3%</f>
        <v>5395.0532999999996</v>
      </c>
      <c r="K28" s="20">
        <f>221254.94*3%</f>
        <v>6637.6481999999996</v>
      </c>
      <c r="L28" s="20">
        <f>180784.39*3%</f>
        <v>5423.5317000000005</v>
      </c>
      <c r="M28" s="20">
        <f>199719.77*3%</f>
        <v>5991.5930999999991</v>
      </c>
      <c r="N28" s="12">
        <f t="shared" si="16"/>
        <v>64412.771100000005</v>
      </c>
    </row>
    <row r="29" spans="1:14" ht="23.25" customHeight="1" thickBot="1" x14ac:dyDescent="0.3">
      <c r="A29" s="5" t="s">
        <v>9</v>
      </c>
      <c r="B29" s="12">
        <v>50501.760000000002</v>
      </c>
      <c r="C29" s="12">
        <v>50501.760000000002</v>
      </c>
      <c r="D29" s="12">
        <v>50501.760000000002</v>
      </c>
      <c r="E29" s="12">
        <v>50501.760000000002</v>
      </c>
      <c r="F29" s="12">
        <v>50501.760000000002</v>
      </c>
      <c r="G29" s="12">
        <v>50501.760000000002</v>
      </c>
      <c r="H29" s="12">
        <v>50501.760000000002</v>
      </c>
      <c r="I29" s="21">
        <f>7891.8*7.4</f>
        <v>58399.320000000007</v>
      </c>
      <c r="J29" s="21">
        <f>7891.8*7.4</f>
        <v>58399.320000000007</v>
      </c>
      <c r="K29" s="21">
        <f t="shared" ref="K29:M29" si="17">7891.8*7.4</f>
        <v>58399.320000000007</v>
      </c>
      <c r="L29" s="21">
        <f t="shared" si="17"/>
        <v>58399.320000000007</v>
      </c>
      <c r="M29" s="21">
        <f t="shared" si="17"/>
        <v>58399.320000000007</v>
      </c>
      <c r="N29" s="12">
        <f t="shared" si="16"/>
        <v>645508.92000000016</v>
      </c>
    </row>
    <row r="30" spans="1:14" ht="26.25" customHeight="1" thickBot="1" x14ac:dyDescent="0.3">
      <c r="A30" s="8" t="s">
        <v>18</v>
      </c>
      <c r="B30" s="12">
        <v>0</v>
      </c>
      <c r="C30" s="12">
        <v>0</v>
      </c>
      <c r="D30" s="12">
        <f>9716.11+1222.12</f>
        <v>10938.23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f>8559.53+0.01</f>
        <v>8559.5400000000009</v>
      </c>
      <c r="L30" s="12">
        <v>0</v>
      </c>
      <c r="M30" s="12">
        <v>0</v>
      </c>
      <c r="N30" s="12">
        <f t="shared" si="16"/>
        <v>19497.77</v>
      </c>
    </row>
    <row r="31" spans="1:14" ht="26.25" customHeight="1" thickBot="1" x14ac:dyDescent="0.3">
      <c r="A31" s="8" t="s">
        <v>19</v>
      </c>
      <c r="B31" s="12">
        <v>657.76</v>
      </c>
      <c r="C31" s="12">
        <v>657.76</v>
      </c>
      <c r="D31" s="12">
        <v>657.76</v>
      </c>
      <c r="E31" s="12">
        <v>657.76</v>
      </c>
      <c r="F31" s="12">
        <v>657.76</v>
      </c>
      <c r="G31" s="12">
        <v>657.76</v>
      </c>
      <c r="H31" s="12">
        <v>698.21</v>
      </c>
      <c r="I31" s="12">
        <v>698.21</v>
      </c>
      <c r="J31" s="12">
        <v>698.21</v>
      </c>
      <c r="K31" s="12">
        <v>698.21</v>
      </c>
      <c r="L31" s="12">
        <v>698.21</v>
      </c>
      <c r="M31" s="12">
        <v>698.21</v>
      </c>
      <c r="N31" s="12">
        <f t="shared" si="16"/>
        <v>8135.8200000000006</v>
      </c>
    </row>
    <row r="32" spans="1:14" ht="26.25" customHeight="1" thickBot="1" x14ac:dyDescent="0.3">
      <c r="A32" s="8" t="s">
        <v>20</v>
      </c>
      <c r="B32" s="12">
        <v>19386.509999999998</v>
      </c>
      <c r="C32" s="12">
        <v>5950</v>
      </c>
      <c r="D32" s="12">
        <v>7174.99</v>
      </c>
      <c r="E32" s="12">
        <v>5694.5</v>
      </c>
      <c r="F32" s="12">
        <v>9803.51</v>
      </c>
      <c r="G32" s="12">
        <v>9110.49</v>
      </c>
      <c r="H32" s="12">
        <v>7046.39</v>
      </c>
      <c r="I32" s="12">
        <v>11061.39</v>
      </c>
      <c r="J32" s="12">
        <v>7182.19</v>
      </c>
      <c r="K32" s="12">
        <v>15630.54</v>
      </c>
      <c r="L32" s="12">
        <v>47.71</v>
      </c>
      <c r="M32" s="12">
        <v>6679.4</v>
      </c>
      <c r="N32" s="12">
        <f t="shared" si="16"/>
        <v>104767.62000000001</v>
      </c>
    </row>
    <row r="33" spans="1:14" ht="23.25" customHeight="1" thickBot="1" x14ac:dyDescent="0.3">
      <c r="A33" s="8" t="s">
        <v>27</v>
      </c>
      <c r="B33" s="12">
        <v>940.5</v>
      </c>
      <c r="C33" s="12">
        <v>940.5</v>
      </c>
      <c r="D33" s="12">
        <v>940.5</v>
      </c>
      <c r="E33" s="12">
        <v>940.5</v>
      </c>
      <c r="F33" s="12">
        <v>940.5</v>
      </c>
      <c r="G33" s="12">
        <v>940.5</v>
      </c>
      <c r="H33" s="12">
        <v>957.35</v>
      </c>
      <c r="I33" s="12">
        <v>957.35</v>
      </c>
      <c r="J33" s="12">
        <v>957.35</v>
      </c>
      <c r="K33" s="12">
        <v>957.35</v>
      </c>
      <c r="L33" s="12">
        <v>957.35</v>
      </c>
      <c r="M33" s="12">
        <v>957.35</v>
      </c>
      <c r="N33" s="12">
        <f t="shared" si="16"/>
        <v>11387.100000000002</v>
      </c>
    </row>
    <row r="34" spans="1:14" ht="22.5" customHeight="1" thickBot="1" x14ac:dyDescent="0.3">
      <c r="A34" s="8" t="s">
        <v>6</v>
      </c>
      <c r="B34" s="12">
        <f>7890.9*2.83</f>
        <v>22331.246999999999</v>
      </c>
      <c r="C34" s="12">
        <f t="shared" ref="C34:H34" si="18">7890.9*2.83</f>
        <v>22331.246999999999</v>
      </c>
      <c r="D34" s="12">
        <f t="shared" si="18"/>
        <v>22331.246999999999</v>
      </c>
      <c r="E34" s="12">
        <f t="shared" si="18"/>
        <v>22331.246999999999</v>
      </c>
      <c r="F34" s="12">
        <f t="shared" si="18"/>
        <v>22331.246999999999</v>
      </c>
      <c r="G34" s="12">
        <f t="shared" si="18"/>
        <v>22331.246999999999</v>
      </c>
      <c r="H34" s="12">
        <f t="shared" si="18"/>
        <v>22331.246999999999</v>
      </c>
      <c r="I34" s="12">
        <f>7891.8*3.13</f>
        <v>24701.333999999999</v>
      </c>
      <c r="J34" s="12">
        <f t="shared" ref="J34:M34" si="19">7891.8*3.13</f>
        <v>24701.333999999999</v>
      </c>
      <c r="K34" s="12">
        <f t="shared" si="19"/>
        <v>24701.333999999999</v>
      </c>
      <c r="L34" s="12">
        <f t="shared" si="19"/>
        <v>24701.333999999999</v>
      </c>
      <c r="M34" s="12">
        <f t="shared" si="19"/>
        <v>24701.333999999999</v>
      </c>
      <c r="N34" s="12">
        <f t="shared" si="16"/>
        <v>279825.39899999998</v>
      </c>
    </row>
    <row r="35" spans="1:14" ht="22.5" customHeight="1" thickBot="1" x14ac:dyDescent="0.3">
      <c r="A35" s="8" t="s">
        <v>25</v>
      </c>
      <c r="B35" s="12">
        <v>26405.96</v>
      </c>
      <c r="C35" s="12">
        <v>26405.96</v>
      </c>
      <c r="D35" s="12">
        <v>26405.96</v>
      </c>
      <c r="E35" s="12">
        <v>26405.96</v>
      </c>
      <c r="F35" s="12">
        <v>26405.96</v>
      </c>
      <c r="G35" s="12">
        <v>26405.96</v>
      </c>
      <c r="H35" s="12">
        <v>26405.96</v>
      </c>
      <c r="I35" s="12">
        <v>26405.96</v>
      </c>
      <c r="J35" s="12">
        <v>26405.96</v>
      </c>
      <c r="K35" s="12">
        <v>26405.96</v>
      </c>
      <c r="L35" s="12">
        <v>26405.96</v>
      </c>
      <c r="M35" s="12">
        <v>26405.96</v>
      </c>
      <c r="N35" s="12">
        <f t="shared" si="16"/>
        <v>316871.52</v>
      </c>
    </row>
    <row r="36" spans="1:14" ht="22.5" customHeight="1" thickBot="1" x14ac:dyDescent="0.3">
      <c r="A36" s="8" t="s">
        <v>29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f t="shared" si="16"/>
        <v>0</v>
      </c>
    </row>
    <row r="37" spans="1:14" ht="21.75" customHeight="1" thickBot="1" x14ac:dyDescent="0.3">
      <c r="A37" s="8" t="s">
        <v>26</v>
      </c>
      <c r="B37" s="12">
        <v>6510</v>
      </c>
      <c r="C37" s="12">
        <v>6695</v>
      </c>
      <c r="D37" s="12">
        <v>7805</v>
      </c>
      <c r="E37" s="12">
        <v>8140</v>
      </c>
      <c r="F37" s="12">
        <v>6745</v>
      </c>
      <c r="G37" s="12">
        <v>6588</v>
      </c>
      <c r="H37" s="12">
        <v>7155</v>
      </c>
      <c r="I37" s="12">
        <v>14575</v>
      </c>
      <c r="J37" s="12">
        <v>14070</v>
      </c>
      <c r="K37" s="12">
        <v>16430</v>
      </c>
      <c r="L37" s="12">
        <v>13560</v>
      </c>
      <c r="M37" s="12">
        <v>13740</v>
      </c>
      <c r="N37" s="12">
        <f t="shared" si="16"/>
        <v>122013</v>
      </c>
    </row>
    <row r="38" spans="1:14" ht="24.75" customHeight="1" thickBot="1" x14ac:dyDescent="0.3">
      <c r="A38" s="8" t="s">
        <v>23</v>
      </c>
      <c r="B38" s="12">
        <v>1140</v>
      </c>
      <c r="C38" s="12">
        <v>1140</v>
      </c>
      <c r="D38" s="12">
        <f>1140</f>
        <v>1140</v>
      </c>
      <c r="E38" s="12">
        <v>0</v>
      </c>
      <c r="F38" s="12">
        <f>1140</f>
        <v>1140</v>
      </c>
      <c r="G38" s="12">
        <f>1140</f>
        <v>1140</v>
      </c>
      <c r="H38" s="12">
        <f>1140</f>
        <v>1140</v>
      </c>
      <c r="I38" s="12">
        <f>1140</f>
        <v>1140</v>
      </c>
      <c r="J38" s="12">
        <f>1140</f>
        <v>1140</v>
      </c>
      <c r="K38" s="12">
        <f>1140</f>
        <v>1140</v>
      </c>
      <c r="L38" s="12">
        <f>1140</f>
        <v>1140</v>
      </c>
      <c r="M38" s="12">
        <f>1140</f>
        <v>1140</v>
      </c>
      <c r="N38" s="12">
        <f t="shared" si="16"/>
        <v>12540</v>
      </c>
    </row>
    <row r="39" spans="1:14" ht="24" customHeight="1" thickBot="1" x14ac:dyDescent="0.3">
      <c r="A39" s="8" t="s">
        <v>10</v>
      </c>
      <c r="B39" s="12">
        <f>441.2+797.4</f>
        <v>1238.5999999999999</v>
      </c>
      <c r="C39" s="12">
        <f>609.8+1150</f>
        <v>1759.8</v>
      </c>
      <c r="D39" s="12">
        <f>592.6</f>
        <v>592.6</v>
      </c>
      <c r="E39" s="12">
        <f>38306.15+50+6385.1+1560</f>
        <v>46301.25</v>
      </c>
      <c r="F39" s="12">
        <v>0</v>
      </c>
      <c r="G39" s="12">
        <f>552.6+1077.2+1797.2+562.6+1422.1+300+319.7+982.8+1664.7</f>
        <v>8678.9</v>
      </c>
      <c r="H39" s="12">
        <f>830.7+556.4+3100+22043.87</f>
        <v>26530.97</v>
      </c>
      <c r="I39" s="12">
        <f>37575+2905.4+165+634.2+2296.2+300+75+1592.2+425.1</f>
        <v>45968.099999999991</v>
      </c>
      <c r="J39" s="12">
        <v>1197.7</v>
      </c>
      <c r="K39" s="12">
        <f>596.8+888.6+13760.1+104715.12</f>
        <v>119960.62</v>
      </c>
      <c r="L39" s="12">
        <f>37463.6+2465.4+1437.2+896.9+888.6</f>
        <v>43151.7</v>
      </c>
      <c r="M39" s="12">
        <f>133337.75+3163.5+550.4+15270.2+2550+3150</f>
        <v>158021.85</v>
      </c>
      <c r="N39" s="12">
        <f>SUM(B39:M39)</f>
        <v>453402.08999999997</v>
      </c>
    </row>
    <row r="40" spans="1:14" ht="22.5" customHeight="1" thickBot="1" x14ac:dyDescent="0.3">
      <c r="A40" s="4" t="s">
        <v>21</v>
      </c>
      <c r="B40" s="11">
        <f t="shared" ref="B40:M40" si="20">SUM(B25:B39)</f>
        <v>143318.41500000001</v>
      </c>
      <c r="C40" s="11">
        <f t="shared" si="20"/>
        <v>131138.30134999999</v>
      </c>
      <c r="D40" s="11">
        <f t="shared" si="20"/>
        <v>143306.11360000001</v>
      </c>
      <c r="E40" s="11">
        <f t="shared" si="20"/>
        <v>175719.98929</v>
      </c>
      <c r="F40" s="11">
        <f t="shared" si="20"/>
        <v>133050.23366999999</v>
      </c>
      <c r="G40" s="11">
        <f t="shared" si="20"/>
        <v>141198.50766999999</v>
      </c>
      <c r="H40" s="11">
        <f t="shared" si="20"/>
        <v>157788.38086</v>
      </c>
      <c r="I40" s="11">
        <f t="shared" si="20"/>
        <v>199340.08477000002</v>
      </c>
      <c r="J40" s="11">
        <f t="shared" si="20"/>
        <v>150291.63135000004</v>
      </c>
      <c r="K40" s="11">
        <f t="shared" si="20"/>
        <v>289575.81902</v>
      </c>
      <c r="L40" s="11">
        <f t="shared" si="20"/>
        <v>184931.58111000003</v>
      </c>
      <c r="M40" s="11">
        <f t="shared" si="20"/>
        <v>306626.21766000002</v>
      </c>
      <c r="N40" s="11">
        <f>SUM(B40:M40)</f>
        <v>2156285.2753500002</v>
      </c>
    </row>
    <row r="41" spans="1:14" ht="23.25" customHeight="1" thickBot="1" x14ac:dyDescent="0.3">
      <c r="A41" s="5" t="s">
        <v>5</v>
      </c>
      <c r="B41" s="16">
        <f t="shared" ref="B41:N41" si="21">B15-B40</f>
        <v>13203.195000000007</v>
      </c>
      <c r="C41" s="16">
        <f t="shared" si="21"/>
        <v>34218.85864999998</v>
      </c>
      <c r="D41" s="16">
        <f t="shared" si="21"/>
        <v>36212.066399999982</v>
      </c>
      <c r="E41" s="16">
        <f t="shared" si="21"/>
        <v>-8479.6492899999721</v>
      </c>
      <c r="F41" s="16">
        <f t="shared" si="21"/>
        <v>35078.09633</v>
      </c>
      <c r="G41" s="16">
        <f t="shared" si="21"/>
        <v>36226.132330000022</v>
      </c>
      <c r="H41" s="16">
        <f t="shared" si="21"/>
        <v>23244.569139999949</v>
      </c>
      <c r="I41" s="16">
        <f t="shared" si="21"/>
        <v>-19865.134770000004</v>
      </c>
      <c r="J41" s="16">
        <f t="shared" si="21"/>
        <v>29643.478649999946</v>
      </c>
      <c r="K41" s="16">
        <f t="shared" si="21"/>
        <v>-68220.879019999993</v>
      </c>
      <c r="L41" s="16">
        <f t="shared" si="21"/>
        <v>-4047.1911100000143</v>
      </c>
      <c r="M41" s="16">
        <f t="shared" si="21"/>
        <v>-103206.44766000003</v>
      </c>
      <c r="N41" s="16">
        <f t="shared" si="21"/>
        <v>4007.0946499998681</v>
      </c>
    </row>
    <row r="42" spans="1:14" ht="23.25" customHeight="1" thickBot="1" x14ac:dyDescent="0.3">
      <c r="A42" s="5" t="s">
        <v>7</v>
      </c>
      <c r="B42" s="14">
        <f t="shared" ref="B42:N42" si="22">B4+B41</f>
        <v>-504403.86499999999</v>
      </c>
      <c r="C42" s="14">
        <f t="shared" si="22"/>
        <v>-470185.00635000004</v>
      </c>
      <c r="D42" s="14">
        <f t="shared" si="22"/>
        <v>-433972.93995000003</v>
      </c>
      <c r="E42" s="14">
        <f t="shared" si="22"/>
        <v>-442452.58924</v>
      </c>
      <c r="F42" s="14">
        <f t="shared" si="22"/>
        <v>-407374.49291000003</v>
      </c>
      <c r="G42" s="14">
        <f t="shared" si="22"/>
        <v>-371148.36057999998</v>
      </c>
      <c r="H42" s="14">
        <f t="shared" si="22"/>
        <v>-347903.79144000006</v>
      </c>
      <c r="I42" s="14">
        <f t="shared" si="22"/>
        <v>-367768.92621000006</v>
      </c>
      <c r="J42" s="14">
        <f t="shared" si="22"/>
        <v>-338125.44756000012</v>
      </c>
      <c r="K42" s="14">
        <f t="shared" si="22"/>
        <v>-406346.32658000011</v>
      </c>
      <c r="L42" s="14">
        <f t="shared" si="22"/>
        <v>-410393.51769000012</v>
      </c>
      <c r="M42" s="14">
        <f t="shared" si="22"/>
        <v>-513599.96535000019</v>
      </c>
      <c r="N42" s="14">
        <f t="shared" si="22"/>
        <v>-513599.96535000013</v>
      </c>
    </row>
    <row r="43" spans="1:14" ht="27" customHeight="1" thickBot="1" x14ac:dyDescent="0.3">
      <c r="A43" s="7" t="s">
        <v>11</v>
      </c>
      <c r="B43" s="18">
        <f>B5+B15-B6</f>
        <v>-561093.65</v>
      </c>
      <c r="C43" s="18">
        <f t="shared" ref="C43:N43" si="23">C5+C15-C6</f>
        <v>-575741.34000000008</v>
      </c>
      <c r="D43" s="18">
        <f t="shared" si="23"/>
        <v>-562791.56000000006</v>
      </c>
      <c r="E43" s="18">
        <f>E5+E15-E6</f>
        <v>-572697.05000000005</v>
      </c>
      <c r="F43" s="18">
        <f t="shared" si="23"/>
        <v>-570881.71000000008</v>
      </c>
      <c r="G43" s="18">
        <f t="shared" si="23"/>
        <v>-563878.96000000008</v>
      </c>
      <c r="H43" s="18">
        <f t="shared" si="23"/>
        <v>-560196.33000000007</v>
      </c>
      <c r="I43" s="18">
        <f t="shared" si="23"/>
        <v>-571752.87000000011</v>
      </c>
      <c r="J43" s="18">
        <f t="shared" si="23"/>
        <v>-586864.1100000001</v>
      </c>
      <c r="K43" s="18">
        <f t="shared" si="23"/>
        <v>-556676.51000000013</v>
      </c>
      <c r="L43" s="18">
        <f t="shared" si="23"/>
        <v>-583966.79</v>
      </c>
      <c r="M43" s="18">
        <f t="shared" si="23"/>
        <v>-568179.74</v>
      </c>
      <c r="N43" s="18">
        <f t="shared" si="23"/>
        <v>-568179.73999999976</v>
      </c>
    </row>
  </sheetData>
  <mergeCells count="2">
    <mergeCell ref="A1:N1"/>
    <mergeCell ref="A2:N2"/>
  </mergeCells>
  <phoneticPr fontId="2" type="noConversion"/>
  <pageMargins left="0.19685039370078741" right="0.19685039370078741" top="0.19685039370078741" bottom="0.19685039370078741" header="0.51181102362204722" footer="0.51181102362204722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2022-03-22T06:44:47Z</cp:lastPrinted>
  <dcterms:created xsi:type="dcterms:W3CDTF">2011-06-06T03:25:48Z</dcterms:created>
  <dcterms:modified xsi:type="dcterms:W3CDTF">2022-03-22T06:45:53Z</dcterms:modified>
</cp:coreProperties>
</file>