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1" sheetId="1" r:id="rId1"/>
  </sheets>
  <calcPr calcId="144525" refMode="R1C1"/>
</workbook>
</file>

<file path=xl/calcChain.xml><?xml version="1.0" encoding="utf-8"?>
<calcChain xmlns="http://schemas.openxmlformats.org/spreadsheetml/2006/main">
  <c r="L39" i="1" l="1"/>
  <c r="L30" i="1" l="1"/>
  <c r="K39" i="1" l="1"/>
  <c r="M28" i="1" l="1"/>
  <c r="M27" i="1"/>
  <c r="C39" i="1" l="1"/>
  <c r="J34" i="1" l="1"/>
  <c r="K34" i="1"/>
  <c r="L34" i="1"/>
  <c r="M34" i="1"/>
  <c r="I34" i="1"/>
  <c r="C34" i="1"/>
  <c r="D34" i="1"/>
  <c r="E34" i="1"/>
  <c r="F34" i="1"/>
  <c r="G34" i="1"/>
  <c r="H34" i="1"/>
  <c r="B34" i="1"/>
  <c r="L28" i="1" l="1"/>
  <c r="L27" i="1"/>
  <c r="K28" i="1" l="1"/>
  <c r="K27" i="1"/>
  <c r="K29" i="1" l="1"/>
  <c r="L29" i="1"/>
  <c r="M29" i="1"/>
  <c r="K26" i="1"/>
  <c r="L26" i="1"/>
  <c r="M26" i="1"/>
  <c r="K25" i="1"/>
  <c r="L25" i="1"/>
  <c r="M25" i="1"/>
  <c r="I39" i="1" l="1"/>
  <c r="I30" i="1" l="1"/>
  <c r="H30" i="1"/>
  <c r="H39" i="1" l="1"/>
  <c r="J29" i="1" l="1"/>
  <c r="I29" i="1"/>
  <c r="J28" i="1" l="1"/>
  <c r="J27" i="1"/>
  <c r="I28" i="1" l="1"/>
  <c r="I27" i="1"/>
  <c r="H28" i="1" l="1"/>
  <c r="H16" i="1"/>
  <c r="H27" i="1"/>
  <c r="H29" i="1" l="1"/>
  <c r="H26" i="1"/>
  <c r="I26" i="1"/>
  <c r="J26" i="1"/>
  <c r="H25" i="1"/>
  <c r="I25" i="1"/>
  <c r="J25" i="1"/>
  <c r="G39" i="1" l="1"/>
  <c r="F39" i="1" l="1"/>
  <c r="G28" i="1" l="1"/>
  <c r="G27" i="1"/>
  <c r="F28" i="1" l="1"/>
  <c r="F27" i="1"/>
  <c r="E28" i="1" l="1"/>
  <c r="E27" i="1"/>
  <c r="E7" i="1"/>
  <c r="N17" i="1" l="1"/>
  <c r="N18" i="1"/>
  <c r="N19" i="1"/>
  <c r="N20" i="1"/>
  <c r="N21" i="1"/>
  <c r="N22" i="1"/>
  <c r="N23" i="1"/>
  <c r="N31" i="1"/>
  <c r="N32" i="1"/>
  <c r="N33" i="1"/>
  <c r="N35" i="1"/>
  <c r="N36" i="1"/>
  <c r="N37" i="1"/>
  <c r="N38" i="1"/>
  <c r="E29" i="1"/>
  <c r="F29" i="1"/>
  <c r="G29" i="1"/>
  <c r="E26" i="1"/>
  <c r="F26" i="1"/>
  <c r="G26" i="1"/>
  <c r="D27" i="1"/>
  <c r="D28" i="1"/>
  <c r="D29" i="1"/>
  <c r="D30" i="1"/>
  <c r="N30" i="1" s="1"/>
  <c r="E25" i="1"/>
  <c r="F25" i="1"/>
  <c r="G25" i="1"/>
  <c r="D39" i="1" l="1"/>
  <c r="N8" i="1" l="1"/>
  <c r="N9" i="1"/>
  <c r="N10" i="1"/>
  <c r="N11" i="1"/>
  <c r="N12" i="1"/>
  <c r="N13" i="1"/>
  <c r="N14" i="1"/>
  <c r="N39" i="1" l="1"/>
  <c r="C28" i="1" l="1"/>
  <c r="C29" i="1"/>
  <c r="B29" i="1"/>
  <c r="N29" i="1" s="1"/>
  <c r="C26" i="1"/>
  <c r="D26" i="1"/>
  <c r="C25" i="1"/>
  <c r="D25" i="1"/>
  <c r="C27" i="1"/>
  <c r="C7" i="1"/>
  <c r="B28" i="1" l="1"/>
  <c r="N28" i="1" s="1"/>
  <c r="B16" i="1"/>
  <c r="N16" i="1" s="1"/>
  <c r="B27" i="1"/>
  <c r="N27" i="1" s="1"/>
  <c r="B7" i="1"/>
  <c r="N7" i="1" s="1"/>
  <c r="N5" i="1" l="1"/>
  <c r="N4" i="1"/>
  <c r="C15" i="1" l="1"/>
  <c r="C40" i="1" s="1"/>
  <c r="C41" i="1" s="1"/>
  <c r="D15" i="1"/>
  <c r="D40" i="1" s="1"/>
  <c r="D41" i="1" s="1"/>
  <c r="B15" i="1"/>
  <c r="C6" i="1"/>
  <c r="D6" i="1"/>
  <c r="B6" i="1"/>
  <c r="N34" i="1"/>
  <c r="B26" i="1"/>
  <c r="N26" i="1" s="1"/>
  <c r="B25" i="1"/>
  <c r="B43" i="1" l="1"/>
  <c r="C5" i="1" s="1"/>
  <c r="B40" i="1"/>
  <c r="B41" i="1" s="1"/>
  <c r="B42" i="1" s="1"/>
  <c r="C4" i="1" s="1"/>
  <c r="C42" i="1" s="1"/>
  <c r="D4" i="1" s="1"/>
  <c r="C43" i="1" l="1"/>
  <c r="D5" i="1" s="1"/>
  <c r="D43" i="1" s="1"/>
  <c r="E5" i="1" s="1"/>
  <c r="D42" i="1"/>
  <c r="E4" i="1" s="1"/>
  <c r="E15" i="1" l="1"/>
  <c r="F6" i="1"/>
  <c r="G6" i="1"/>
  <c r="E6" i="1"/>
  <c r="E40" i="1" l="1"/>
  <c r="E43" i="1"/>
  <c r="F5" i="1" s="1"/>
  <c r="F15" i="1"/>
  <c r="G15" i="1"/>
  <c r="H15" i="1"/>
  <c r="I15" i="1"/>
  <c r="J15" i="1"/>
  <c r="K15" i="1"/>
  <c r="L15" i="1"/>
  <c r="M15" i="1"/>
  <c r="G40" i="1" l="1"/>
  <c r="G41" i="1" s="1"/>
  <c r="N15" i="1"/>
  <c r="E41" i="1"/>
  <c r="N25" i="1"/>
  <c r="E42" i="1" l="1"/>
  <c r="F4" i="1" s="1"/>
  <c r="M40" i="1"/>
  <c r="M41" i="1" s="1"/>
  <c r="L6" i="1"/>
  <c r="L40" i="1"/>
  <c r="L41" i="1" s="1"/>
  <c r="K6" i="1"/>
  <c r="M6" i="1"/>
  <c r="K40" i="1" l="1"/>
  <c r="K41" i="1" s="1"/>
  <c r="J6" i="1"/>
  <c r="I6" i="1"/>
  <c r="H40" i="1"/>
  <c r="H41" i="1" s="1"/>
  <c r="H6" i="1"/>
  <c r="N6" i="1" l="1"/>
  <c r="N43" i="1" s="1"/>
  <c r="I40" i="1"/>
  <c r="I41" i="1" s="1"/>
  <c r="J40" i="1"/>
  <c r="J41" i="1" s="1"/>
  <c r="F40" i="1" l="1"/>
  <c r="F41" i="1" l="1"/>
  <c r="F42" i="1" s="1"/>
  <c r="G4" i="1" s="1"/>
  <c r="N40" i="1"/>
  <c r="F43" i="1"/>
  <c r="G5" i="1" s="1"/>
  <c r="N41" i="1" l="1"/>
  <c r="N42" i="1" s="1"/>
  <c r="G43" i="1" l="1"/>
  <c r="H5" i="1" s="1"/>
  <c r="H43" i="1" l="1"/>
  <c r="I5" i="1" s="1"/>
  <c r="G42" i="1" l="1"/>
  <c r="H4" i="1" s="1"/>
  <c r="I43" i="1" l="1"/>
  <c r="J5" i="1" s="1"/>
  <c r="H42" i="1"/>
  <c r="I4" i="1" s="1"/>
  <c r="J43" i="1" l="1"/>
  <c r="K5" i="1" s="1"/>
  <c r="I42" i="1" l="1"/>
  <c r="J4" i="1" s="1"/>
  <c r="K43" i="1"/>
  <c r="L5" i="1" s="1"/>
  <c r="J42" i="1" l="1"/>
  <c r="K4" i="1" s="1"/>
  <c r="L43" i="1"/>
  <c r="M5" i="1" s="1"/>
  <c r="M43" i="1" l="1"/>
  <c r="K42" i="1"/>
  <c r="L4" i="1" s="1"/>
  <c r="L42" i="1" l="1"/>
  <c r="M4" i="1" s="1"/>
  <c r="M42" i="1" l="1"/>
</calcChain>
</file>

<file path=xl/sharedStrings.xml><?xml version="1.0" encoding="utf-8"?>
<sst xmlns="http://schemas.openxmlformats.org/spreadsheetml/2006/main" count="56" uniqueCount="46">
  <si>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</si>
  <si>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</si>
  <si>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</si>
  <si>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</si>
  <si>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</si>
  <si>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</si>
  <si>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</si>
  <si>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</si>
  <si>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</si>
  <si>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</si>
  <si>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</si>
  <si>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</si>
  <si>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</si>
  <si>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</si>
  <si>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</si>
  <si>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</si>
  <si>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</si>
  <si>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</si>
  <si>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</si>
  <si>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</si>
  <si>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</si>
  <si>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</si>
  <si>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</si>
  <si>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Доход от использования общего имущества</t>
  </si>
  <si>
    <t>Комплексное обслуживание лифтов</t>
  </si>
  <si>
    <t>Вознаграждение, координация с советом МКД</t>
  </si>
  <si>
    <t>Отведение сточных вод на ОИ</t>
  </si>
  <si>
    <t xml:space="preserve">                       ООО "УК "Авангард"</t>
  </si>
  <si>
    <t>Периодическое техническое освидетельствование лифтов</t>
  </si>
  <si>
    <t>Содержание жилья и текущий ремонт,  ОПУ</t>
  </si>
  <si>
    <t>Содержание жилья и текущий ремонт, ОПУ /нежилые</t>
  </si>
  <si>
    <t>Тех.обслуживание приборов учета</t>
  </si>
  <si>
    <t>Январь 2021г.</t>
  </si>
  <si>
    <t>Февраль 2021г.</t>
  </si>
  <si>
    <t>Март 2021г.</t>
  </si>
  <si>
    <t>Апрель 2021г.</t>
  </si>
  <si>
    <t>Май 2021г.</t>
  </si>
  <si>
    <t>Июнь 2021г.</t>
  </si>
  <si>
    <t>Июль 2021г.</t>
  </si>
  <si>
    <t>Август 2021г.</t>
  </si>
  <si>
    <t>Сентябрь 2021г.</t>
  </si>
  <si>
    <t>Октябрь 2021г.</t>
  </si>
  <si>
    <t>Ноябрь 2021г.</t>
  </si>
  <si>
    <t>Декабрь 2021г.</t>
  </si>
  <si>
    <t>Всего:                       за  2021г.</t>
  </si>
  <si>
    <t xml:space="preserve">       ОТЧЕТ по дому Ударная, 83/1 за период с 01.01.2021г. по 31.12.2021г.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</si>
</sst>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0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b/>
      <sz val="18"/>
      <name val="Times New Roman"/>
      <family val="1"/>
      <charset val="204"/>
    </font>
    <font>
      <sz val="18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0" fillId="0" borderId="0" xfId="0" applyAlignment="1">
      <alignment vertical="top"/>
    </xf>
    <xf numFmtId="164" fontId="7" fillId="2" borderId="4" xfId="0" applyNumberFormat="1" applyFont="1" applyFill="1" applyBorder="1" applyAlignment="1">
      <alignment horizontal="left" vertical="top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6" fillId="0" borderId="4" xfId="0" applyNumberFormat="1" applyFont="1" applyBorder="1" applyAlignment="1">
      <alignment horizontal="left"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left" vertical="top" wrapText="1"/>
    </xf>
    <xf numFmtId="164" fontId="6" fillId="0" borderId="6" xfId="0" applyNumberFormat="1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/>
    </xf>
    <xf numFmtId="164" fontId="6" fillId="0" borderId="4" xfId="0" applyNumberFormat="1" applyFont="1" applyBorder="1" applyAlignment="1">
      <alignment horizontal="left" vertical="top"/>
    </xf>
    <xf numFmtId="164" fontId="6" fillId="0" borderId="4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9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tabSelected="1" topLeftCell="A16" zoomScale="75" workbookViewId="0">
      <selection activeCell="G24" sqref="G24"/>
    </sheetView>
  </sheetViews>
  <sheetFormatPr defaultRowHeight="13.2" x14ac:dyDescent="0.25"/>
  <cols>
    <col min="1" max="1" width="58.6640625" customWidth="1"/>
    <col min="2" max="2" width="14.33203125" customWidth="1"/>
    <col min="3" max="6" width="14.109375" customWidth="1"/>
    <col min="7" max="7" width="16.77734375" customWidth="1"/>
    <col min="8" max="8" width="15" customWidth="1"/>
    <col min="9" max="9" width="15.6640625" customWidth="1"/>
    <col min="10" max="13" width="16.5546875" customWidth="1"/>
    <col min="14" max="14" width="15.88671875" customWidth="1"/>
  </cols>
  <sheetData>
    <row r="1" spans="1:20" ht="20.399999999999999" x14ac:dyDescent="0.35">
      <c r="A1" s="22" t="s">
        <v>27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20" ht="20.25" customHeight="1" thickBot="1" x14ac:dyDescent="0.45">
      <c r="A2" s="24" t="s">
        <v>45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20" ht="38.25" customHeight="1" thickBot="1" x14ac:dyDescent="0.3">
      <c r="A3" s="1" t="s">
        <v>0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41</v>
      </c>
      <c r="L3" s="2" t="s">
        <v>42</v>
      </c>
      <c r="M3" s="2" t="s">
        <v>43</v>
      </c>
      <c r="N3" s="2" t="s">
        <v>44</v>
      </c>
    </row>
    <row r="4" spans="1:20" ht="23.25" customHeight="1" thickBot="1" x14ac:dyDescent="0.3">
      <c r="A4" s="3" t="s">
        <v>14</v>
      </c>
      <c r="B4" s="10">
        <v>-28113.13</v>
      </c>
      <c r="C4" s="10">
        <f>B42</f>
        <v>-15971.133289999994</v>
      </c>
      <c r="D4" s="10">
        <f t="shared" ref="D4:M5" si="0">C42</f>
        <v>-1087.7425199999816</v>
      </c>
      <c r="E4" s="10">
        <f t="shared" si="0"/>
        <v>12950.284460000028</v>
      </c>
      <c r="F4" s="10">
        <f t="shared" si="0"/>
        <v>27736.203120000038</v>
      </c>
      <c r="G4" s="10">
        <f t="shared" si="0"/>
        <v>-18634.480609999966</v>
      </c>
      <c r="H4" s="10">
        <f t="shared" si="0"/>
        <v>-28160.061509999967</v>
      </c>
      <c r="I4" s="10">
        <f t="shared" si="0"/>
        <v>-28941.470909999971</v>
      </c>
      <c r="J4" s="10">
        <f t="shared" si="0"/>
        <v>-22093.133239999992</v>
      </c>
      <c r="K4" s="10">
        <f t="shared" si="0"/>
        <v>1024.4621900000093</v>
      </c>
      <c r="L4" s="10">
        <f t="shared" si="0"/>
        <v>35502.003349999999</v>
      </c>
      <c r="M4" s="10">
        <f t="shared" si="0"/>
        <v>44447.998640000005</v>
      </c>
      <c r="N4" s="10">
        <f>B4</f>
        <v>-28113.13</v>
      </c>
    </row>
    <row r="5" spans="1:20" ht="21" customHeight="1" thickBot="1" x14ac:dyDescent="0.3">
      <c r="A5" s="3" t="s">
        <v>13</v>
      </c>
      <c r="B5" s="10">
        <v>-129339.42</v>
      </c>
      <c r="C5" s="10">
        <f t="shared" ref="C5" si="1">B43</f>
        <v>-135211.46999999997</v>
      </c>
      <c r="D5" s="10">
        <f t="shared" si="0"/>
        <v>-136223.11999999997</v>
      </c>
      <c r="E5" s="10">
        <f t="shared" si="0"/>
        <v>-136458.33999999997</v>
      </c>
      <c r="F5" s="10">
        <f t="shared" si="0"/>
        <v>-140246.23999999996</v>
      </c>
      <c r="G5" s="10">
        <f t="shared" si="0"/>
        <v>-143782.47999999998</v>
      </c>
      <c r="H5" s="10">
        <f t="shared" si="0"/>
        <v>-147518.28999999998</v>
      </c>
      <c r="I5" s="10">
        <f t="shared" si="0"/>
        <v>-145401.44999999995</v>
      </c>
      <c r="J5" s="10">
        <f t="shared" si="0"/>
        <v>-156624.24999999994</v>
      </c>
      <c r="K5" s="10">
        <f t="shared" si="0"/>
        <v>-158502.72999999995</v>
      </c>
      <c r="L5" s="10">
        <f t="shared" si="0"/>
        <v>-135897.58999999997</v>
      </c>
      <c r="M5" s="10">
        <f t="shared" si="0"/>
        <v>-131546.02999999997</v>
      </c>
      <c r="N5" s="10">
        <f>B5</f>
        <v>-129339.42</v>
      </c>
    </row>
    <row r="6" spans="1:20" ht="20.25" customHeight="1" thickBot="1" x14ac:dyDescent="0.3">
      <c r="A6" s="4" t="s">
        <v>12</v>
      </c>
      <c r="B6" s="11">
        <f>SUM(B7:B14)</f>
        <v>82489.87</v>
      </c>
      <c r="C6" s="11">
        <f t="shared" ref="C6:D6" si="2">SUM(C7:C14)</f>
        <v>81794.850000000006</v>
      </c>
      <c r="D6" s="11">
        <f t="shared" si="2"/>
        <v>81922.98</v>
      </c>
      <c r="E6" s="11">
        <f>SUM(E7:E14)</f>
        <v>82615.22</v>
      </c>
      <c r="F6" s="11">
        <f t="shared" ref="F6:M6" si="3">SUM(F7:F14)</f>
        <v>80632.25</v>
      </c>
      <c r="G6" s="11">
        <f t="shared" si="3"/>
        <v>79753.84</v>
      </c>
      <c r="H6" s="11">
        <f t="shared" si="3"/>
        <v>81086.84</v>
      </c>
      <c r="I6" s="11">
        <f t="shared" si="3"/>
        <v>94740.319999999992</v>
      </c>
      <c r="J6" s="11">
        <f t="shared" si="3"/>
        <v>92503.200000000012</v>
      </c>
      <c r="K6" s="11">
        <f t="shared" si="3"/>
        <v>86848.59</v>
      </c>
      <c r="L6" s="11">
        <f t="shared" si="3"/>
        <v>89153.180000000008</v>
      </c>
      <c r="M6" s="11">
        <f t="shared" si="3"/>
        <v>90526.32</v>
      </c>
      <c r="N6" s="11">
        <f>SUM(B6:M6)</f>
        <v>1024067.46</v>
      </c>
    </row>
    <row r="7" spans="1:20" ht="24.75" customHeight="1" thickBot="1" x14ac:dyDescent="0.3">
      <c r="A7" s="8" t="s">
        <v>29</v>
      </c>
      <c r="B7" s="12">
        <f>71945.3</f>
        <v>71945.3</v>
      </c>
      <c r="C7" s="12">
        <f>71945.3</f>
        <v>71945.3</v>
      </c>
      <c r="D7" s="12">
        <v>71945.3</v>
      </c>
      <c r="E7" s="12">
        <f>71945.3</f>
        <v>71945.3</v>
      </c>
      <c r="F7" s="12">
        <v>71945.3</v>
      </c>
      <c r="G7" s="12">
        <v>71945.3</v>
      </c>
      <c r="H7" s="12">
        <v>71945.3</v>
      </c>
      <c r="I7" s="12">
        <v>79609.66</v>
      </c>
      <c r="J7" s="12">
        <v>79609.66</v>
      </c>
      <c r="K7" s="12">
        <v>79609.66</v>
      </c>
      <c r="L7" s="12">
        <v>79609.66</v>
      </c>
      <c r="M7" s="12">
        <v>79609.66</v>
      </c>
      <c r="N7" s="12">
        <f>SUM(B7:M7)</f>
        <v>901665.40000000014</v>
      </c>
    </row>
    <row r="8" spans="1:20" ht="24.75" customHeight="1" thickBot="1" x14ac:dyDescent="0.3">
      <c r="A8" s="8" t="s">
        <v>30</v>
      </c>
      <c r="B8" s="12">
        <v>1193.8399999999999</v>
      </c>
      <c r="C8" s="12">
        <v>1193.8399999999999</v>
      </c>
      <c r="D8" s="12">
        <v>1193.8399999999999</v>
      </c>
      <c r="E8" s="12">
        <v>1193.8399999999999</v>
      </c>
      <c r="F8" s="12">
        <v>1193.8399999999999</v>
      </c>
      <c r="G8" s="12">
        <v>1193.8399999999999</v>
      </c>
      <c r="H8" s="12">
        <v>1193.8399999999999</v>
      </c>
      <c r="I8" s="12">
        <v>1319.81</v>
      </c>
      <c r="J8" s="12">
        <v>1319.81</v>
      </c>
      <c r="K8" s="12">
        <v>1319.81</v>
      </c>
      <c r="L8" s="12">
        <v>1319.81</v>
      </c>
      <c r="M8" s="12">
        <v>1319.81</v>
      </c>
      <c r="N8" s="12">
        <f t="shared" ref="N8:N14" si="4">SUM(B8:M8)</f>
        <v>14955.929999999997</v>
      </c>
    </row>
    <row r="9" spans="1:20" ht="24.75" customHeight="1" thickBot="1" x14ac:dyDescent="0.3">
      <c r="A9" s="8" t="s">
        <v>15</v>
      </c>
      <c r="B9" s="12">
        <v>0</v>
      </c>
      <c r="C9" s="12">
        <v>12.05</v>
      </c>
      <c r="D9" s="12">
        <v>0</v>
      </c>
      <c r="E9" s="12">
        <v>103.41</v>
      </c>
      <c r="F9" s="12">
        <v>0</v>
      </c>
      <c r="G9" s="12">
        <v>0</v>
      </c>
      <c r="H9" s="12">
        <v>0</v>
      </c>
      <c r="I9" s="12">
        <v>6662.34</v>
      </c>
      <c r="J9" s="12">
        <v>670.82</v>
      </c>
      <c r="K9" s="12">
        <v>0</v>
      </c>
      <c r="L9" s="12">
        <v>0</v>
      </c>
      <c r="M9" s="12">
        <v>22.32</v>
      </c>
      <c r="N9" s="12">
        <f t="shared" si="4"/>
        <v>7470.94</v>
      </c>
    </row>
    <row r="10" spans="1:20" ht="21.75" customHeight="1" thickBot="1" x14ac:dyDescent="0.3">
      <c r="A10" s="8" t="s">
        <v>16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f t="shared" si="4"/>
        <v>0</v>
      </c>
    </row>
    <row r="11" spans="1:20" ht="22.5" customHeight="1" thickBot="1" x14ac:dyDescent="0.3">
      <c r="A11" s="8" t="s">
        <v>17</v>
      </c>
      <c r="B11" s="12">
        <v>4375.04</v>
      </c>
      <c r="C11" s="12">
        <v>3667.97</v>
      </c>
      <c r="D11" s="12">
        <v>3808.15</v>
      </c>
      <c r="E11" s="12">
        <v>4696.9799999999996</v>
      </c>
      <c r="F11" s="12">
        <v>2817.42</v>
      </c>
      <c r="G11" s="12">
        <v>1939.01</v>
      </c>
      <c r="H11" s="12">
        <v>2964.51</v>
      </c>
      <c r="I11" s="12">
        <v>2165.2600000000002</v>
      </c>
      <c r="J11" s="12">
        <v>5919.66</v>
      </c>
      <c r="K11" s="12">
        <v>935.87</v>
      </c>
      <c r="L11" s="12">
        <v>3240.46</v>
      </c>
      <c r="M11" s="12">
        <v>4591.28</v>
      </c>
      <c r="N11" s="12">
        <f t="shared" si="4"/>
        <v>41121.609999999993</v>
      </c>
    </row>
    <row r="12" spans="1:20" ht="22.5" customHeight="1" thickBot="1" x14ac:dyDescent="0.3">
      <c r="A12" s="8" t="s">
        <v>26</v>
      </c>
      <c r="B12" s="12">
        <v>415.69</v>
      </c>
      <c r="C12" s="12">
        <v>415.69</v>
      </c>
      <c r="D12" s="12">
        <v>415.69</v>
      </c>
      <c r="E12" s="12">
        <v>415.69</v>
      </c>
      <c r="F12" s="12">
        <v>415.69</v>
      </c>
      <c r="G12" s="12">
        <v>415.69</v>
      </c>
      <c r="H12" s="12">
        <v>423.19</v>
      </c>
      <c r="I12" s="12">
        <v>423.25</v>
      </c>
      <c r="J12" s="12">
        <v>423.25</v>
      </c>
      <c r="K12" s="12">
        <v>423.25</v>
      </c>
      <c r="L12" s="12">
        <v>423.25</v>
      </c>
      <c r="M12" s="12">
        <v>423.25</v>
      </c>
      <c r="N12" s="12">
        <f t="shared" si="4"/>
        <v>5033.58</v>
      </c>
    </row>
    <row r="13" spans="1:20" ht="22.5" customHeight="1" thickBot="1" x14ac:dyDescent="0.3">
      <c r="A13" s="8" t="s">
        <v>25</v>
      </c>
      <c r="B13" s="12">
        <v>4260</v>
      </c>
      <c r="C13" s="12">
        <v>4260</v>
      </c>
      <c r="D13" s="12">
        <v>4260</v>
      </c>
      <c r="E13" s="12">
        <v>4260</v>
      </c>
      <c r="F13" s="12">
        <v>4260</v>
      </c>
      <c r="G13" s="12">
        <v>4260</v>
      </c>
      <c r="H13" s="12">
        <v>4260</v>
      </c>
      <c r="I13" s="12">
        <v>4260</v>
      </c>
      <c r="J13" s="12">
        <v>4260</v>
      </c>
      <c r="K13" s="12">
        <v>4260</v>
      </c>
      <c r="L13" s="12">
        <v>4260</v>
      </c>
      <c r="M13" s="12">
        <v>4260</v>
      </c>
      <c r="N13" s="12">
        <f t="shared" si="4"/>
        <v>51120</v>
      </c>
    </row>
    <row r="14" spans="1:20" ht="22.5" customHeight="1" thickBot="1" x14ac:dyDescent="0.3">
      <c r="A14" s="8" t="s">
        <v>23</v>
      </c>
      <c r="B14" s="12">
        <v>300</v>
      </c>
      <c r="C14" s="12">
        <v>300</v>
      </c>
      <c r="D14" s="12">
        <v>300</v>
      </c>
      <c r="E14" s="12">
        <v>0</v>
      </c>
      <c r="F14" s="12">
        <v>0</v>
      </c>
      <c r="G14" s="12">
        <v>0</v>
      </c>
      <c r="H14" s="12">
        <v>300</v>
      </c>
      <c r="I14" s="12">
        <v>300</v>
      </c>
      <c r="J14" s="12">
        <v>300</v>
      </c>
      <c r="K14" s="12">
        <v>300</v>
      </c>
      <c r="L14" s="12">
        <v>300</v>
      </c>
      <c r="M14" s="12">
        <v>300</v>
      </c>
      <c r="N14" s="12">
        <f t="shared" si="4"/>
        <v>2700</v>
      </c>
    </row>
    <row r="15" spans="1:20" ht="20.25" customHeight="1" thickBot="1" x14ac:dyDescent="0.3">
      <c r="A15" s="6" t="s">
        <v>8</v>
      </c>
      <c r="B15" s="13">
        <f>SUM(B16:B23)</f>
        <v>76617.820000000007</v>
      </c>
      <c r="C15" s="13">
        <f t="shared" ref="C15:D15" si="5">SUM(C16:C23)</f>
        <v>80783.200000000012</v>
      </c>
      <c r="D15" s="13">
        <f t="shared" si="5"/>
        <v>81687.759999999995</v>
      </c>
      <c r="E15" s="13">
        <f t="shared" ref="E15:M15" si="6">SUM(E16:E23)</f>
        <v>78827.320000000007</v>
      </c>
      <c r="F15" s="13">
        <f t="shared" si="6"/>
        <v>77096.009999999995</v>
      </c>
      <c r="G15" s="13">
        <f t="shared" si="6"/>
        <v>76018.03</v>
      </c>
      <c r="H15" s="13">
        <f t="shared" si="6"/>
        <v>83203.680000000008</v>
      </c>
      <c r="I15" s="13">
        <f t="shared" si="6"/>
        <v>83517.51999999999</v>
      </c>
      <c r="J15" s="13">
        <f t="shared" si="6"/>
        <v>90624.72</v>
      </c>
      <c r="K15" s="13">
        <f t="shared" si="6"/>
        <v>109453.73</v>
      </c>
      <c r="L15" s="13">
        <f t="shared" si="6"/>
        <v>93504.74</v>
      </c>
      <c r="M15" s="13">
        <f t="shared" si="6"/>
        <v>86120.87</v>
      </c>
      <c r="N15" s="13">
        <f>SUM(B15:M15)</f>
        <v>1017455.4</v>
      </c>
      <c r="T15" s="9"/>
    </row>
    <row r="16" spans="1:20" ht="24" customHeight="1" thickBot="1" x14ac:dyDescent="0.3">
      <c r="A16" s="8" t="s">
        <v>29</v>
      </c>
      <c r="B16" s="12">
        <f>65838.97</f>
        <v>65838.97</v>
      </c>
      <c r="C16" s="12">
        <v>71827.460000000006</v>
      </c>
      <c r="D16" s="12">
        <v>71405.850000000006</v>
      </c>
      <c r="E16" s="12">
        <v>70689.48</v>
      </c>
      <c r="F16" s="12">
        <v>68383.98</v>
      </c>
      <c r="G16" s="12">
        <v>67621.240000000005</v>
      </c>
      <c r="H16" s="12">
        <f>74930.68+652.38</f>
        <v>75583.06</v>
      </c>
      <c r="I16" s="12">
        <v>76198.539999999994</v>
      </c>
      <c r="J16" s="12">
        <v>77959.16</v>
      </c>
      <c r="K16" s="12">
        <v>96437.39</v>
      </c>
      <c r="L16" s="12">
        <v>87337.22</v>
      </c>
      <c r="M16" s="12">
        <v>78372.7</v>
      </c>
      <c r="N16" s="12">
        <f>SUM(B16:M16)</f>
        <v>907655.04999999993</v>
      </c>
    </row>
    <row r="17" spans="1:14" ht="24" customHeight="1" thickBot="1" x14ac:dyDescent="0.3">
      <c r="A17" s="8" t="s">
        <v>30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f t="shared" ref="N17:N23" si="7">SUM(B17:M17)</f>
        <v>0</v>
      </c>
    </row>
    <row r="18" spans="1:14" ht="26.25" customHeight="1" thickBot="1" x14ac:dyDescent="0.3">
      <c r="A18" s="8" t="s">
        <v>15</v>
      </c>
      <c r="B18" s="12">
        <v>1250.27</v>
      </c>
      <c r="C18" s="12">
        <v>77.53</v>
      </c>
      <c r="D18" s="12">
        <v>38.76</v>
      </c>
      <c r="E18" s="12">
        <v>0.57999999999999996</v>
      </c>
      <c r="F18" s="12">
        <v>91.59</v>
      </c>
      <c r="G18" s="12">
        <v>6.76</v>
      </c>
      <c r="H18" s="12">
        <v>4.99</v>
      </c>
      <c r="I18" s="12">
        <v>0.61</v>
      </c>
      <c r="J18" s="12">
        <v>6208.39</v>
      </c>
      <c r="K18" s="12">
        <v>969.22</v>
      </c>
      <c r="L18" s="12">
        <v>176.86</v>
      </c>
      <c r="M18" s="12">
        <v>0</v>
      </c>
      <c r="N18" s="12">
        <f t="shared" si="7"/>
        <v>8825.56</v>
      </c>
    </row>
    <row r="19" spans="1:14" ht="26.25" customHeight="1" thickBot="1" x14ac:dyDescent="0.3">
      <c r="A19" s="8" t="s">
        <v>16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8.19</v>
      </c>
      <c r="L19" s="12">
        <v>7.05</v>
      </c>
      <c r="M19" s="12">
        <v>0</v>
      </c>
      <c r="N19" s="12">
        <f t="shared" si="7"/>
        <v>15.239999999999998</v>
      </c>
    </row>
    <row r="20" spans="1:14" ht="24" customHeight="1" thickBot="1" x14ac:dyDescent="0.3">
      <c r="A20" s="8" t="s">
        <v>17</v>
      </c>
      <c r="B20" s="14">
        <v>5188.16</v>
      </c>
      <c r="C20" s="15">
        <v>4443.22</v>
      </c>
      <c r="D20" s="15">
        <v>3710.53</v>
      </c>
      <c r="E20" s="15">
        <v>3712.16</v>
      </c>
      <c r="F20" s="15">
        <v>4277.6000000000004</v>
      </c>
      <c r="G20" s="15">
        <v>2894.2</v>
      </c>
      <c r="H20" s="12">
        <v>2158.79</v>
      </c>
      <c r="I20" s="12">
        <v>2860.29</v>
      </c>
      <c r="J20" s="12">
        <v>2065.86</v>
      </c>
      <c r="K20" s="12">
        <v>6448.06</v>
      </c>
      <c r="L20" s="12">
        <v>1207.19</v>
      </c>
      <c r="M20" s="12">
        <v>3161.5</v>
      </c>
      <c r="N20" s="12">
        <f t="shared" si="7"/>
        <v>42127.560000000005</v>
      </c>
    </row>
    <row r="21" spans="1:14" ht="24" customHeight="1" thickBot="1" x14ac:dyDescent="0.3">
      <c r="A21" s="8" t="s">
        <v>26</v>
      </c>
      <c r="B21" s="16">
        <v>380.44</v>
      </c>
      <c r="C21" s="16">
        <v>414.99</v>
      </c>
      <c r="D21" s="16">
        <v>412.61</v>
      </c>
      <c r="E21" s="16">
        <v>405.11</v>
      </c>
      <c r="F21" s="16">
        <v>382.84</v>
      </c>
      <c r="G21" s="16">
        <v>408.75</v>
      </c>
      <c r="H21" s="14">
        <v>432.96</v>
      </c>
      <c r="I21" s="15">
        <v>408.63</v>
      </c>
      <c r="J21" s="15">
        <v>401.31</v>
      </c>
      <c r="K21" s="12">
        <v>520.28</v>
      </c>
      <c r="L21" s="12">
        <v>449.01</v>
      </c>
      <c r="M21" s="12">
        <v>416.67</v>
      </c>
      <c r="N21" s="12">
        <f t="shared" si="7"/>
        <v>5033.6000000000004</v>
      </c>
    </row>
    <row r="22" spans="1:14" ht="24" customHeight="1" thickBot="1" x14ac:dyDescent="0.3">
      <c r="A22" s="8" t="s">
        <v>25</v>
      </c>
      <c r="B22" s="14">
        <v>3959.98</v>
      </c>
      <c r="C22" s="15">
        <v>4020</v>
      </c>
      <c r="D22" s="15">
        <v>4320.01</v>
      </c>
      <c r="E22" s="14">
        <v>4019.99</v>
      </c>
      <c r="F22" s="15">
        <v>3960</v>
      </c>
      <c r="G22" s="15">
        <v>4187.08</v>
      </c>
      <c r="H22" s="12">
        <v>5023.88</v>
      </c>
      <c r="I22" s="12">
        <v>4049.45</v>
      </c>
      <c r="J22" s="12">
        <v>3990</v>
      </c>
      <c r="K22" s="12">
        <v>5070.59</v>
      </c>
      <c r="L22" s="12">
        <v>4327.41</v>
      </c>
      <c r="M22" s="12">
        <v>4170</v>
      </c>
      <c r="N22" s="12">
        <f t="shared" si="7"/>
        <v>51098.39</v>
      </c>
    </row>
    <row r="23" spans="1:14" ht="24" customHeight="1" thickBot="1" x14ac:dyDescent="0.3">
      <c r="A23" s="8" t="s">
        <v>23</v>
      </c>
      <c r="B23" s="14">
        <v>0</v>
      </c>
      <c r="C23" s="14">
        <v>0</v>
      </c>
      <c r="D23" s="14">
        <v>1800</v>
      </c>
      <c r="E23" s="14">
        <v>0</v>
      </c>
      <c r="F23" s="14">
        <v>0</v>
      </c>
      <c r="G23" s="14">
        <v>900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2">
        <f t="shared" si="7"/>
        <v>2700</v>
      </c>
    </row>
    <row r="24" spans="1:14" ht="21.75" customHeight="1" thickBot="1" x14ac:dyDescent="0.3">
      <c r="A24" s="7" t="s">
        <v>22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/>
    </row>
    <row r="25" spans="1:14" ht="19.5" customHeight="1" thickBot="1" x14ac:dyDescent="0.3">
      <c r="A25" s="8" t="s">
        <v>1</v>
      </c>
      <c r="B25" s="21">
        <f t="shared" ref="B25:M25" si="8">3878*0.55</f>
        <v>2132.9</v>
      </c>
      <c r="C25" s="21">
        <f t="shared" si="8"/>
        <v>2132.9</v>
      </c>
      <c r="D25" s="21">
        <f t="shared" si="8"/>
        <v>2132.9</v>
      </c>
      <c r="E25" s="21">
        <f t="shared" si="8"/>
        <v>2132.9</v>
      </c>
      <c r="F25" s="21">
        <f t="shared" si="8"/>
        <v>2132.9</v>
      </c>
      <c r="G25" s="21">
        <f t="shared" si="8"/>
        <v>2132.9</v>
      </c>
      <c r="H25" s="21">
        <f t="shared" si="8"/>
        <v>2132.9</v>
      </c>
      <c r="I25" s="21">
        <f t="shared" si="8"/>
        <v>2132.9</v>
      </c>
      <c r="J25" s="21">
        <f t="shared" si="8"/>
        <v>2132.9</v>
      </c>
      <c r="K25" s="21">
        <f t="shared" si="8"/>
        <v>2132.9</v>
      </c>
      <c r="L25" s="21">
        <f t="shared" si="8"/>
        <v>2132.9</v>
      </c>
      <c r="M25" s="21">
        <f t="shared" si="8"/>
        <v>2132.9</v>
      </c>
      <c r="N25" s="12">
        <f t="shared" ref="N25" si="9">SUM(B25:M25)</f>
        <v>25594.800000000007</v>
      </c>
    </row>
    <row r="26" spans="1:14" ht="22.5" customHeight="1" thickBot="1" x14ac:dyDescent="0.3">
      <c r="A26" s="8" t="s">
        <v>2</v>
      </c>
      <c r="B26" s="21">
        <f t="shared" ref="B26:M26" si="10">3878*0.17</f>
        <v>659.26</v>
      </c>
      <c r="C26" s="21">
        <f t="shared" si="10"/>
        <v>659.26</v>
      </c>
      <c r="D26" s="21">
        <f t="shared" si="10"/>
        <v>659.26</v>
      </c>
      <c r="E26" s="21">
        <f t="shared" si="10"/>
        <v>659.26</v>
      </c>
      <c r="F26" s="21">
        <f t="shared" si="10"/>
        <v>659.26</v>
      </c>
      <c r="G26" s="21">
        <f t="shared" si="10"/>
        <v>659.26</v>
      </c>
      <c r="H26" s="21">
        <f t="shared" si="10"/>
        <v>659.26</v>
      </c>
      <c r="I26" s="21">
        <f t="shared" si="10"/>
        <v>659.26</v>
      </c>
      <c r="J26" s="21">
        <f t="shared" si="10"/>
        <v>659.26</v>
      </c>
      <c r="K26" s="21">
        <f t="shared" si="10"/>
        <v>659.26</v>
      </c>
      <c r="L26" s="21">
        <f t="shared" si="10"/>
        <v>659.26</v>
      </c>
      <c r="M26" s="21">
        <f t="shared" si="10"/>
        <v>659.26</v>
      </c>
      <c r="N26" s="12">
        <f>SUM(B26:M26)</f>
        <v>7911.1200000000017</v>
      </c>
    </row>
    <row r="27" spans="1:14" ht="21" customHeight="1" thickBot="1" x14ac:dyDescent="0.3">
      <c r="A27" s="8" t="s">
        <v>3</v>
      </c>
      <c r="B27" s="12">
        <f>80996.03*2.3%</f>
        <v>1862.90869</v>
      </c>
      <c r="C27" s="12">
        <f>80301.01*2.3%</f>
        <v>1846.9232299999999</v>
      </c>
      <c r="D27" s="12">
        <f>80429.14*2.3%</f>
        <v>1849.87022</v>
      </c>
      <c r="E27" s="12">
        <f>81421.38*2.3%</f>
        <v>1872.69174</v>
      </c>
      <c r="F27" s="12">
        <f>79438.41*2.3%</f>
        <v>1827.0834300000001</v>
      </c>
      <c r="G27" s="12">
        <f>78560*2.3%</f>
        <v>1806.8799999999999</v>
      </c>
      <c r="H27" s="12">
        <f>79593*2.3%</f>
        <v>1830.6389999999999</v>
      </c>
      <c r="I27" s="12">
        <f>93120.51*2.3%</f>
        <v>2141.7717299999999</v>
      </c>
      <c r="J27" s="12">
        <f>90883.39*2.3%</f>
        <v>2090.3179700000001</v>
      </c>
      <c r="K27" s="12">
        <f>85228.78*2.3%</f>
        <v>1960.2619399999999</v>
      </c>
      <c r="L27" s="12">
        <f>87533.37*2.3%</f>
        <v>2013.2675099999999</v>
      </c>
      <c r="M27" s="12">
        <f>88906.51*2.3%</f>
        <v>2044.8497299999999</v>
      </c>
      <c r="N27" s="12">
        <f t="shared" ref="N27:N39" si="11">SUM(B27:M27)</f>
        <v>23147.465190000003</v>
      </c>
    </row>
    <row r="28" spans="1:14" ht="23.25" customHeight="1" thickBot="1" x14ac:dyDescent="0.3">
      <c r="A28" s="8" t="s">
        <v>4</v>
      </c>
      <c r="B28" s="20">
        <f>76617.82*3%</f>
        <v>2298.5346</v>
      </c>
      <c r="C28" s="12">
        <f>80783.2*3%</f>
        <v>2423.4959999999996</v>
      </c>
      <c r="D28" s="19">
        <f>79887.76*3%</f>
        <v>2396.6327999999999</v>
      </c>
      <c r="E28" s="20">
        <f>78827.32*3%</f>
        <v>2364.8196000000003</v>
      </c>
      <c r="F28" s="20">
        <f>77096.01*3%</f>
        <v>2312.8802999999998</v>
      </c>
      <c r="G28" s="20">
        <f>75118.03*3%</f>
        <v>2253.5409</v>
      </c>
      <c r="H28" s="20">
        <f>83203.68*3%</f>
        <v>2496.1103999999996</v>
      </c>
      <c r="I28" s="20">
        <f>83517.52*3%</f>
        <v>2505.5255999999999</v>
      </c>
      <c r="J28" s="20">
        <f>90624.72*3%</f>
        <v>2718.7415999999998</v>
      </c>
      <c r="K28" s="20">
        <f>109453.73*3%</f>
        <v>3283.6118999999999</v>
      </c>
      <c r="L28" s="20">
        <f>93504.74*3%</f>
        <v>2805.1422000000002</v>
      </c>
      <c r="M28" s="20">
        <f>86120.87*3%</f>
        <v>2583.6261</v>
      </c>
      <c r="N28" s="12">
        <f t="shared" si="11"/>
        <v>30442.662000000004</v>
      </c>
    </row>
    <row r="29" spans="1:14" ht="23.25" customHeight="1" thickBot="1" x14ac:dyDescent="0.3">
      <c r="A29" s="5" t="s">
        <v>9</v>
      </c>
      <c r="B29" s="21">
        <f>3878*6.4</f>
        <v>24819.200000000001</v>
      </c>
      <c r="C29" s="21">
        <f t="shared" ref="C29:H29" si="12">3878*6.4</f>
        <v>24819.200000000001</v>
      </c>
      <c r="D29" s="21">
        <f t="shared" si="12"/>
        <v>24819.200000000001</v>
      </c>
      <c r="E29" s="21">
        <f t="shared" si="12"/>
        <v>24819.200000000001</v>
      </c>
      <c r="F29" s="21">
        <f t="shared" si="12"/>
        <v>24819.200000000001</v>
      </c>
      <c r="G29" s="21">
        <f t="shared" si="12"/>
        <v>24819.200000000001</v>
      </c>
      <c r="H29" s="21">
        <f t="shared" si="12"/>
        <v>24819.200000000001</v>
      </c>
      <c r="I29" s="21">
        <f>3881.5*7.4</f>
        <v>28723.100000000002</v>
      </c>
      <c r="J29" s="21">
        <f>3881.5*7.4</f>
        <v>28723.100000000002</v>
      </c>
      <c r="K29" s="21">
        <f t="shared" ref="K29:M29" si="13">3881.5*7.4</f>
        <v>28723.100000000002</v>
      </c>
      <c r="L29" s="21">
        <f t="shared" si="13"/>
        <v>28723.100000000002</v>
      </c>
      <c r="M29" s="21">
        <f t="shared" si="13"/>
        <v>28723.100000000002</v>
      </c>
      <c r="N29" s="12">
        <f t="shared" si="11"/>
        <v>317349.90000000002</v>
      </c>
    </row>
    <row r="30" spans="1:14" ht="26.25" customHeight="1" thickBot="1" x14ac:dyDescent="0.3">
      <c r="A30" s="8" t="s">
        <v>18</v>
      </c>
      <c r="B30" s="12">
        <v>0</v>
      </c>
      <c r="C30" s="12">
        <v>0</v>
      </c>
      <c r="D30" s="12">
        <f>91.82+11.63</f>
        <v>103.44999999999999</v>
      </c>
      <c r="E30" s="12">
        <v>0</v>
      </c>
      <c r="F30" s="12">
        <v>0</v>
      </c>
      <c r="G30" s="12">
        <v>0</v>
      </c>
      <c r="H30" s="12">
        <f>6213.02+449.26</f>
        <v>6662.2800000000007</v>
      </c>
      <c r="I30" s="12">
        <f>594.17+76.69</f>
        <v>670.8599999999999</v>
      </c>
      <c r="J30" s="12">
        <v>0</v>
      </c>
      <c r="K30" s="12">
        <v>0</v>
      </c>
      <c r="L30" s="12">
        <f>0+22.16</f>
        <v>22.16</v>
      </c>
      <c r="M30" s="12">
        <v>0</v>
      </c>
      <c r="N30" s="12">
        <f t="shared" si="11"/>
        <v>7458.75</v>
      </c>
    </row>
    <row r="31" spans="1:14" ht="26.25" customHeight="1" thickBot="1" x14ac:dyDescent="0.3">
      <c r="A31" s="8" t="s">
        <v>19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f t="shared" si="11"/>
        <v>0</v>
      </c>
    </row>
    <row r="32" spans="1:14" ht="26.25" customHeight="1" thickBot="1" x14ac:dyDescent="0.3">
      <c r="A32" s="8" t="s">
        <v>20</v>
      </c>
      <c r="B32" s="12">
        <v>3667.99</v>
      </c>
      <c r="C32" s="12">
        <v>3808</v>
      </c>
      <c r="D32" s="12">
        <v>4696.99</v>
      </c>
      <c r="E32" s="12">
        <v>2817.5</v>
      </c>
      <c r="F32" s="12">
        <v>1939</v>
      </c>
      <c r="G32" s="12">
        <v>2964.5</v>
      </c>
      <c r="H32" s="12">
        <v>2165.3000000000002</v>
      </c>
      <c r="I32" s="12">
        <v>5919.71</v>
      </c>
      <c r="J32" s="12">
        <v>935.85</v>
      </c>
      <c r="K32" s="12">
        <v>3240.6</v>
      </c>
      <c r="L32" s="12">
        <v>4591.17</v>
      </c>
      <c r="M32" s="12">
        <v>1721.23</v>
      </c>
      <c r="N32" s="12">
        <f t="shared" si="11"/>
        <v>38467.839999999997</v>
      </c>
    </row>
    <row r="33" spans="1:14" ht="23.25" customHeight="1" thickBot="1" x14ac:dyDescent="0.3">
      <c r="A33" s="8" t="s">
        <v>26</v>
      </c>
      <c r="B33" s="12">
        <v>422.57</v>
      </c>
      <c r="C33" s="12">
        <v>422.57</v>
      </c>
      <c r="D33" s="12">
        <v>422.57</v>
      </c>
      <c r="E33" s="12">
        <v>422.57</v>
      </c>
      <c r="F33" s="12">
        <v>422.57</v>
      </c>
      <c r="G33" s="12">
        <v>422.57</v>
      </c>
      <c r="H33" s="12">
        <v>430.14</v>
      </c>
      <c r="I33" s="12">
        <v>430.14</v>
      </c>
      <c r="J33" s="12">
        <v>430.14</v>
      </c>
      <c r="K33" s="12">
        <v>430.14</v>
      </c>
      <c r="L33" s="12">
        <v>430.14</v>
      </c>
      <c r="M33" s="12">
        <v>430.14</v>
      </c>
      <c r="N33" s="12">
        <f t="shared" si="11"/>
        <v>5116.26</v>
      </c>
    </row>
    <row r="34" spans="1:14" ht="22.5" customHeight="1" thickBot="1" x14ac:dyDescent="0.3">
      <c r="A34" s="8" t="s">
        <v>6</v>
      </c>
      <c r="B34" s="21">
        <f>3878*2.83</f>
        <v>10974.74</v>
      </c>
      <c r="C34" s="21">
        <f t="shared" ref="C34:H34" si="14">3878*2.83</f>
        <v>10974.74</v>
      </c>
      <c r="D34" s="21">
        <f t="shared" si="14"/>
        <v>10974.74</v>
      </c>
      <c r="E34" s="21">
        <f t="shared" si="14"/>
        <v>10974.74</v>
      </c>
      <c r="F34" s="21">
        <f t="shared" si="14"/>
        <v>10974.74</v>
      </c>
      <c r="G34" s="21">
        <f t="shared" si="14"/>
        <v>10974.74</v>
      </c>
      <c r="H34" s="21">
        <f t="shared" si="14"/>
        <v>10974.74</v>
      </c>
      <c r="I34" s="21">
        <f>3881.5*3.13</f>
        <v>12149.094999999999</v>
      </c>
      <c r="J34" s="21">
        <f t="shared" ref="J34:M34" si="15">3881.5*3.13</f>
        <v>12149.094999999999</v>
      </c>
      <c r="K34" s="21">
        <f t="shared" si="15"/>
        <v>12149.094999999999</v>
      </c>
      <c r="L34" s="21">
        <f t="shared" si="15"/>
        <v>12149.094999999999</v>
      </c>
      <c r="M34" s="21">
        <f t="shared" si="15"/>
        <v>12149.094999999999</v>
      </c>
      <c r="N34" s="12">
        <f t="shared" si="11"/>
        <v>137568.655</v>
      </c>
    </row>
    <row r="35" spans="1:14" ht="22.5" customHeight="1" thickBot="1" x14ac:dyDescent="0.3">
      <c r="A35" s="8" t="s">
        <v>24</v>
      </c>
      <c r="B35" s="21">
        <v>12687.72</v>
      </c>
      <c r="C35" s="21">
        <v>12687.72</v>
      </c>
      <c r="D35" s="21">
        <v>12687.72</v>
      </c>
      <c r="E35" s="21">
        <v>12687.72</v>
      </c>
      <c r="F35" s="21">
        <v>12687.72</v>
      </c>
      <c r="G35" s="21">
        <v>12687.72</v>
      </c>
      <c r="H35" s="21">
        <v>12687.72</v>
      </c>
      <c r="I35" s="21">
        <v>12687.72</v>
      </c>
      <c r="J35" s="21">
        <v>12687.72</v>
      </c>
      <c r="K35" s="21">
        <v>12687.72</v>
      </c>
      <c r="L35" s="21">
        <v>12687.72</v>
      </c>
      <c r="M35" s="21">
        <v>12687.72</v>
      </c>
      <c r="N35" s="12">
        <f t="shared" si="11"/>
        <v>152252.63999999998</v>
      </c>
    </row>
    <row r="36" spans="1:14" ht="22.5" customHeight="1" thickBot="1" x14ac:dyDescent="0.3">
      <c r="A36" s="8" t="s">
        <v>28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f t="shared" si="11"/>
        <v>0</v>
      </c>
    </row>
    <row r="37" spans="1:14" ht="21.75" customHeight="1" thickBot="1" x14ac:dyDescent="0.3">
      <c r="A37" s="8" t="s">
        <v>25</v>
      </c>
      <c r="B37" s="12">
        <v>3750</v>
      </c>
      <c r="C37" s="12">
        <v>3750</v>
      </c>
      <c r="D37" s="12">
        <v>3850</v>
      </c>
      <c r="E37" s="12">
        <v>4090</v>
      </c>
      <c r="F37" s="12">
        <v>3805</v>
      </c>
      <c r="G37" s="12">
        <v>3750</v>
      </c>
      <c r="H37" s="12">
        <v>4973</v>
      </c>
      <c r="I37" s="12">
        <v>3835</v>
      </c>
      <c r="J37" s="12">
        <v>3780</v>
      </c>
      <c r="K37" s="12">
        <v>4800</v>
      </c>
      <c r="L37" s="12">
        <v>3950</v>
      </c>
      <c r="M37" s="12">
        <v>4040</v>
      </c>
      <c r="N37" s="12">
        <f t="shared" si="11"/>
        <v>48373</v>
      </c>
    </row>
    <row r="38" spans="1:14" ht="22.8" customHeight="1" thickBot="1" x14ac:dyDescent="0.3">
      <c r="A38" s="8" t="s">
        <v>31</v>
      </c>
      <c r="B38" s="21">
        <v>1200</v>
      </c>
      <c r="C38" s="21">
        <v>1200</v>
      </c>
      <c r="D38" s="21">
        <v>1200</v>
      </c>
      <c r="E38" s="21">
        <v>1200</v>
      </c>
      <c r="F38" s="21">
        <v>1200</v>
      </c>
      <c r="G38" s="21">
        <v>1200</v>
      </c>
      <c r="H38" s="21">
        <v>1200</v>
      </c>
      <c r="I38" s="21">
        <v>1200</v>
      </c>
      <c r="J38" s="21">
        <v>1200</v>
      </c>
      <c r="K38" s="21">
        <v>1200</v>
      </c>
      <c r="L38" s="21">
        <v>1200</v>
      </c>
      <c r="M38" s="21">
        <v>1200</v>
      </c>
      <c r="N38" s="12">
        <f t="shared" si="11"/>
        <v>14400</v>
      </c>
    </row>
    <row r="39" spans="1:14" ht="24" customHeight="1" thickBot="1" x14ac:dyDescent="0.3">
      <c r="A39" s="8" t="s">
        <v>10</v>
      </c>
      <c r="B39" s="12">
        <v>0</v>
      </c>
      <c r="C39" s="12">
        <f>75+1100</f>
        <v>1175</v>
      </c>
      <c r="D39" s="12">
        <f>1856.4</f>
        <v>1856.4</v>
      </c>
      <c r="E39" s="12">
        <v>0</v>
      </c>
      <c r="F39" s="12">
        <f>1813.6+58872.74</f>
        <v>60686.34</v>
      </c>
      <c r="G39" s="12">
        <f>575.1+21297.2</f>
        <v>21872.3</v>
      </c>
      <c r="H39" s="12">
        <f>3800+9153.8</f>
        <v>12953.8</v>
      </c>
      <c r="I39" s="12">
        <f>2959.6+654.5</f>
        <v>3614.1</v>
      </c>
      <c r="J39" s="12">
        <v>0</v>
      </c>
      <c r="K39" s="12">
        <f>3709.5</f>
        <v>3709.5</v>
      </c>
      <c r="L39" s="12">
        <f>1555+11639.79</f>
        <v>13194.79</v>
      </c>
      <c r="M39" s="12">
        <v>0</v>
      </c>
      <c r="N39" s="12">
        <f t="shared" si="11"/>
        <v>119062.23000000001</v>
      </c>
    </row>
    <row r="40" spans="1:14" ht="22.5" customHeight="1" thickBot="1" x14ac:dyDescent="0.3">
      <c r="A40" s="4" t="s">
        <v>21</v>
      </c>
      <c r="B40" s="11">
        <f t="shared" ref="B40:M40" si="16">SUM(B25:B39)</f>
        <v>64475.82329</v>
      </c>
      <c r="C40" s="11">
        <f t="shared" si="16"/>
        <v>65899.809229999999</v>
      </c>
      <c r="D40" s="11">
        <f t="shared" si="16"/>
        <v>67649.733019999985</v>
      </c>
      <c r="E40" s="11">
        <f t="shared" si="16"/>
        <v>64041.401339999997</v>
      </c>
      <c r="F40" s="11">
        <f t="shared" si="16"/>
        <v>123466.69373</v>
      </c>
      <c r="G40" s="11">
        <f t="shared" si="16"/>
        <v>85543.6109</v>
      </c>
      <c r="H40" s="11">
        <f t="shared" si="16"/>
        <v>83985.089400000012</v>
      </c>
      <c r="I40" s="11">
        <f t="shared" si="16"/>
        <v>76669.182330000011</v>
      </c>
      <c r="J40" s="11">
        <f t="shared" si="16"/>
        <v>67507.12457</v>
      </c>
      <c r="K40" s="11">
        <f t="shared" si="16"/>
        <v>74976.188840000003</v>
      </c>
      <c r="L40" s="11">
        <f t="shared" si="16"/>
        <v>84558.744709999999</v>
      </c>
      <c r="M40" s="11">
        <f t="shared" si="16"/>
        <v>68371.920830000017</v>
      </c>
      <c r="N40" s="11">
        <f>SUM(B40:M40)</f>
        <v>927145.32218999998</v>
      </c>
    </row>
    <row r="41" spans="1:14" ht="23.25" customHeight="1" thickBot="1" x14ac:dyDescent="0.3">
      <c r="A41" s="5" t="s">
        <v>5</v>
      </c>
      <c r="B41" s="16">
        <f t="shared" ref="B41:N41" si="17">B15-B40</f>
        <v>12141.996710000007</v>
      </c>
      <c r="C41" s="16">
        <f t="shared" si="17"/>
        <v>14883.390770000013</v>
      </c>
      <c r="D41" s="16">
        <f t="shared" si="17"/>
        <v>14038.02698000001</v>
      </c>
      <c r="E41" s="16">
        <f t="shared" si="17"/>
        <v>14785.91866000001</v>
      </c>
      <c r="F41" s="16">
        <f t="shared" si="17"/>
        <v>-46370.683730000004</v>
      </c>
      <c r="G41" s="16">
        <f t="shared" si="17"/>
        <v>-9525.5809000000008</v>
      </c>
      <c r="H41" s="16">
        <f t="shared" si="17"/>
        <v>-781.4094000000041</v>
      </c>
      <c r="I41" s="16">
        <f t="shared" si="17"/>
        <v>6848.337669999979</v>
      </c>
      <c r="J41" s="16">
        <f t="shared" si="17"/>
        <v>23117.595430000001</v>
      </c>
      <c r="K41" s="16">
        <f t="shared" si="17"/>
        <v>34477.541159999993</v>
      </c>
      <c r="L41" s="16">
        <f t="shared" si="17"/>
        <v>8945.9952900000062</v>
      </c>
      <c r="M41" s="16">
        <f t="shared" si="17"/>
        <v>17748.949169999978</v>
      </c>
      <c r="N41" s="16">
        <f t="shared" si="17"/>
        <v>90310.077810000046</v>
      </c>
    </row>
    <row r="42" spans="1:14" ht="23.25" customHeight="1" thickBot="1" x14ac:dyDescent="0.3">
      <c r="A42" s="5" t="s">
        <v>7</v>
      </c>
      <c r="B42" s="14">
        <f t="shared" ref="B42:N42" si="18">B4+B41</f>
        <v>-15971.133289999994</v>
      </c>
      <c r="C42" s="14">
        <f t="shared" si="18"/>
        <v>-1087.7425199999816</v>
      </c>
      <c r="D42" s="14">
        <f t="shared" si="18"/>
        <v>12950.284460000028</v>
      </c>
      <c r="E42" s="14">
        <f t="shared" si="18"/>
        <v>27736.203120000038</v>
      </c>
      <c r="F42" s="14">
        <f t="shared" si="18"/>
        <v>-18634.480609999966</v>
      </c>
      <c r="G42" s="14">
        <f t="shared" si="18"/>
        <v>-28160.061509999967</v>
      </c>
      <c r="H42" s="14">
        <f t="shared" si="18"/>
        <v>-28941.470909999971</v>
      </c>
      <c r="I42" s="14">
        <f t="shared" si="18"/>
        <v>-22093.133239999992</v>
      </c>
      <c r="J42" s="14">
        <f t="shared" si="18"/>
        <v>1024.4621900000093</v>
      </c>
      <c r="K42" s="14">
        <f t="shared" si="18"/>
        <v>35502.003349999999</v>
      </c>
      <c r="L42" s="14">
        <f t="shared" si="18"/>
        <v>44447.998640000005</v>
      </c>
      <c r="M42" s="14">
        <f t="shared" si="18"/>
        <v>62196.947809999983</v>
      </c>
      <c r="N42" s="14">
        <f t="shared" si="18"/>
        <v>62196.947810000041</v>
      </c>
    </row>
    <row r="43" spans="1:14" ht="27" customHeight="1" thickBot="1" x14ac:dyDescent="0.3">
      <c r="A43" s="7" t="s">
        <v>11</v>
      </c>
      <c r="B43" s="18">
        <f>B5+B15-B6</f>
        <v>-135211.46999999997</v>
      </c>
      <c r="C43" s="18">
        <f t="shared" ref="C43:N43" si="19">C5+C15-C6</f>
        <v>-136223.11999999997</v>
      </c>
      <c r="D43" s="18">
        <f t="shared" si="19"/>
        <v>-136458.33999999997</v>
      </c>
      <c r="E43" s="18">
        <f t="shared" si="19"/>
        <v>-140246.23999999996</v>
      </c>
      <c r="F43" s="18">
        <f t="shared" si="19"/>
        <v>-143782.47999999998</v>
      </c>
      <c r="G43" s="18">
        <f t="shared" si="19"/>
        <v>-147518.28999999998</v>
      </c>
      <c r="H43" s="18">
        <f t="shared" si="19"/>
        <v>-145401.44999999995</v>
      </c>
      <c r="I43" s="18">
        <f t="shared" si="19"/>
        <v>-156624.24999999994</v>
      </c>
      <c r="J43" s="18">
        <f t="shared" si="19"/>
        <v>-158502.72999999995</v>
      </c>
      <c r="K43" s="18">
        <f t="shared" si="19"/>
        <v>-135897.58999999997</v>
      </c>
      <c r="L43" s="18">
        <f t="shared" si="19"/>
        <v>-131546.02999999997</v>
      </c>
      <c r="M43" s="18">
        <f t="shared" si="19"/>
        <v>-135951.47999999998</v>
      </c>
      <c r="N43" s="18">
        <f t="shared" si="19"/>
        <v>-135951.47999999998</v>
      </c>
    </row>
  </sheetData>
  <mergeCells count="2">
    <mergeCell ref="A1:N1"/>
    <mergeCell ref="A2:N2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2022-03-22T03:55:27Z</cp:lastPrinted>
  <dcterms:created xsi:type="dcterms:W3CDTF">2011-06-06T03:25:48Z</dcterms:created>
  <dcterms:modified xsi:type="dcterms:W3CDTF">2022-03-22T04:10:06Z</dcterms:modified>
</cp:coreProperties>
</file>