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1" sheetId="1" r:id="rId1"/>
  </sheets>
  <calcPr calcId="144525" refMode="R1C1"/>
</workbook>
</file>

<file path=xl/calcChain.xml><?xml version="1.0" encoding="utf-8"?>
<calcChain xmlns="http://schemas.openxmlformats.org/spreadsheetml/2006/main">
  <c r="M39" i="1" l="1"/>
  <c r="L39" i="1" l="1"/>
  <c r="M37" i="1" l="1"/>
  <c r="L37" i="1" l="1"/>
  <c r="K37" i="1" l="1"/>
  <c r="K39" i="1" l="1"/>
  <c r="M29" i="1" l="1"/>
  <c r="M16" i="1"/>
  <c r="M28" i="1"/>
  <c r="M6" i="1"/>
  <c r="J39" i="1" l="1"/>
  <c r="L30" i="1" l="1"/>
  <c r="M30" i="1"/>
  <c r="K30" i="1"/>
  <c r="L35" i="1" l="1"/>
  <c r="M35" i="1"/>
  <c r="K35" i="1"/>
  <c r="C35" i="1"/>
  <c r="D35" i="1"/>
  <c r="E35" i="1"/>
  <c r="F35" i="1"/>
  <c r="G35" i="1"/>
  <c r="H35" i="1"/>
  <c r="I35" i="1"/>
  <c r="J35" i="1"/>
  <c r="B35" i="1"/>
  <c r="L29" i="1" l="1"/>
  <c r="L16" i="1"/>
  <c r="L28" i="1"/>
  <c r="L6" i="1"/>
  <c r="K29" i="1" l="1"/>
  <c r="K16" i="1"/>
  <c r="K28" i="1"/>
  <c r="K6" i="1"/>
  <c r="K27" i="1" l="1"/>
  <c r="L27" i="1"/>
  <c r="M27" i="1"/>
  <c r="K26" i="1"/>
  <c r="L26" i="1"/>
  <c r="M26" i="1"/>
  <c r="I39" i="1" l="1"/>
  <c r="J37" i="1" l="1"/>
  <c r="J31" i="1" l="1"/>
  <c r="I37" i="1" l="1"/>
  <c r="H37" i="1" l="1"/>
  <c r="J29" i="1" l="1"/>
  <c r="J16" i="1"/>
  <c r="J28" i="1"/>
  <c r="J6" i="1"/>
  <c r="I29" i="1" l="1"/>
  <c r="I16" i="1"/>
  <c r="I28" i="1"/>
  <c r="I6" i="1"/>
  <c r="H39" i="1" l="1"/>
  <c r="H29" i="1" l="1"/>
  <c r="H16" i="1"/>
  <c r="H28" i="1"/>
  <c r="H6" i="1"/>
  <c r="H27" i="1" l="1"/>
  <c r="I27" i="1"/>
  <c r="J27" i="1"/>
  <c r="H26" i="1"/>
  <c r="I26" i="1"/>
  <c r="J26" i="1"/>
  <c r="G39" i="1" l="1"/>
  <c r="G37" i="1" l="1"/>
  <c r="G29" i="1" l="1"/>
  <c r="G28" i="1"/>
  <c r="G16" i="1"/>
  <c r="G6" i="1"/>
  <c r="F29" i="1" l="1"/>
  <c r="F16" i="1"/>
  <c r="F28" i="1"/>
  <c r="F6" i="1"/>
  <c r="E29" i="1" l="1"/>
  <c r="E16" i="1"/>
  <c r="E28" i="1"/>
  <c r="E6" i="1"/>
  <c r="E39" i="1" l="1"/>
  <c r="E27" i="1" l="1"/>
  <c r="F27" i="1"/>
  <c r="G27" i="1"/>
  <c r="E26" i="1"/>
  <c r="F26" i="1"/>
  <c r="G26" i="1"/>
  <c r="C37" i="1" l="1"/>
  <c r="D39" i="1" l="1"/>
  <c r="D29" i="1" l="1"/>
  <c r="D16" i="1"/>
  <c r="D28" i="1"/>
  <c r="D6" i="1"/>
  <c r="B39" i="1" l="1"/>
  <c r="C29" i="1" l="1"/>
  <c r="C16" i="1"/>
  <c r="C28" i="1"/>
  <c r="C6" i="1"/>
  <c r="B29" i="1" l="1"/>
  <c r="B16" i="1"/>
  <c r="B28" i="1"/>
  <c r="B6" i="1"/>
  <c r="N23" i="1" l="1"/>
  <c r="N13" i="1"/>
  <c r="B15" i="1"/>
  <c r="C27" i="1" l="1"/>
  <c r="D27" i="1"/>
  <c r="C26" i="1"/>
  <c r="D26" i="1"/>
  <c r="B27" i="1"/>
  <c r="B26" i="1"/>
  <c r="N33" i="1" l="1"/>
  <c r="N30" i="1" l="1"/>
  <c r="N22" i="1"/>
  <c r="N12" i="1"/>
  <c r="G15" i="1" l="1"/>
  <c r="G5" i="1"/>
  <c r="F5" i="1"/>
  <c r="E15" i="1"/>
  <c r="F15" i="1"/>
  <c r="E5" i="1"/>
  <c r="G40" i="1" l="1"/>
  <c r="G41" i="1" s="1"/>
  <c r="D15" i="1"/>
  <c r="D40" i="1" s="1"/>
  <c r="D41" i="1" s="1"/>
  <c r="D5" i="1"/>
  <c r="C5" i="1"/>
  <c r="C15" i="1"/>
  <c r="B5" i="1"/>
  <c r="N4" i="1" l="1"/>
  <c r="N3" i="1"/>
  <c r="C40" i="1" l="1"/>
  <c r="C41" i="1" s="1"/>
  <c r="N39" i="1"/>
  <c r="M15" i="1" l="1"/>
  <c r="L15" i="1"/>
  <c r="L5" i="1"/>
  <c r="N26" i="1"/>
  <c r="N27" i="1"/>
  <c r="N31" i="1"/>
  <c r="N32" i="1"/>
  <c r="N34" i="1"/>
  <c r="N35" i="1"/>
  <c r="N36" i="1"/>
  <c r="N37" i="1"/>
  <c r="N38" i="1"/>
  <c r="N17" i="1"/>
  <c r="N18" i="1"/>
  <c r="N19" i="1"/>
  <c r="N20" i="1"/>
  <c r="N21" i="1"/>
  <c r="N24" i="1"/>
  <c r="K15" i="1"/>
  <c r="N7" i="1"/>
  <c r="N8" i="1"/>
  <c r="N9" i="1"/>
  <c r="N10" i="1"/>
  <c r="N11" i="1"/>
  <c r="N14" i="1"/>
  <c r="M5" i="1"/>
  <c r="M40" i="1" l="1"/>
  <c r="M41" i="1" s="1"/>
  <c r="K5" i="1"/>
  <c r="L40" i="1"/>
  <c r="L41" i="1" s="1"/>
  <c r="K40" i="1" l="1"/>
  <c r="K41" i="1" l="1"/>
  <c r="I15" i="1"/>
  <c r="H15" i="1"/>
  <c r="J15" i="1"/>
  <c r="J5" i="1"/>
  <c r="J40" i="1" l="1"/>
  <c r="J41" i="1" s="1"/>
  <c r="I40" i="1"/>
  <c r="I41" i="1" s="1"/>
  <c r="H40" i="1"/>
  <c r="H41" i="1" s="1"/>
  <c r="I5" i="1"/>
  <c r="H5" i="1" l="1"/>
  <c r="N16" i="1" l="1"/>
  <c r="N6" i="1"/>
  <c r="F40" i="1"/>
  <c r="F41" i="1" s="1"/>
  <c r="N29" i="1"/>
  <c r="N5" i="1" l="1"/>
  <c r="N15" i="1"/>
  <c r="N28" i="1"/>
  <c r="E40" i="1"/>
  <c r="E41" i="1" s="1"/>
  <c r="B43" i="1"/>
  <c r="N40" i="1" l="1"/>
  <c r="N43" i="1"/>
  <c r="C4" i="1"/>
  <c r="B40" i="1"/>
  <c r="C43" i="1" l="1"/>
  <c r="D4" i="1" s="1"/>
  <c r="B41" i="1"/>
  <c r="B42" i="1" s="1"/>
  <c r="N41" i="1"/>
  <c r="N42" i="1" s="1"/>
  <c r="D43" i="1" l="1"/>
  <c r="E4" i="1" s="1"/>
  <c r="E43" i="1" s="1"/>
  <c r="F4" i="1" s="1"/>
  <c r="C3" i="1"/>
  <c r="C42" i="1" l="1"/>
  <c r="D3" i="1" s="1"/>
  <c r="F43" i="1"/>
  <c r="G4" i="1" s="1"/>
  <c r="G43" i="1" s="1"/>
  <c r="D42" i="1" l="1"/>
  <c r="E3" i="1" s="1"/>
  <c r="E42" i="1" s="1"/>
  <c r="F3" i="1" s="1"/>
  <c r="F42" i="1" s="1"/>
  <c r="G3" i="1" s="1"/>
  <c r="G42" i="1" s="1"/>
  <c r="H4" i="1"/>
  <c r="H43" i="1" l="1"/>
  <c r="I4" i="1" s="1"/>
  <c r="H3" i="1"/>
  <c r="H42" i="1" s="1"/>
  <c r="I43" i="1" l="1"/>
  <c r="J4" i="1" s="1"/>
  <c r="I3" i="1"/>
  <c r="I42" i="1" s="1"/>
  <c r="J43" i="1" l="1"/>
  <c r="K4" i="1" s="1"/>
  <c r="J3" i="1"/>
  <c r="J42" i="1" s="1"/>
  <c r="K43" i="1" l="1"/>
  <c r="L4" i="1" s="1"/>
  <c r="K3" i="1"/>
  <c r="K42" i="1" s="1"/>
  <c r="L43" i="1" l="1"/>
  <c r="M4" i="1" s="1"/>
  <c r="M43" i="1" s="1"/>
  <c r="L3" i="1"/>
  <c r="L42" i="1" s="1"/>
  <c r="M3" i="1" l="1"/>
  <c r="M42" i="1" s="1"/>
</calcChain>
</file>

<file path=xl/sharedStrings.xml><?xml version="1.0" encoding="utf-8"?>
<sst xmlns="http://schemas.openxmlformats.org/spreadsheetml/2006/main" count="56" uniqueCount="46">
  <si>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</si>
  <si>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</si>
  <si>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</si>
  <si>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</si>
  <si>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</si>
  <si>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</si>
  <si>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</si>
  <si>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</si>
  <si>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</si>
  <si>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</si>
  <si>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</si>
  <si>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</si>
  <si>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</si>
  <si>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</si>
  <si>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Тех.обслуживание газового оборудования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</si>
  <si>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</si>
  <si>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</si>
  <si>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</si>
  <si>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</si>
  <si>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</si>
  <si>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</si>
  <si>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</si>
  <si>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</si>
  <si>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</si>
  <si>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</si>
  <si>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Отведение сточных вод ОИ</t>
  </si>
  <si>
    <t>Дополнительный доход (использование общего имущества)</t>
  </si>
  <si>
    <t>Вознаграждение, координация с советом МКД</t>
  </si>
  <si>
    <t>Диагностика газового оборудования</t>
  </si>
  <si>
    <t>Содержание жилья и текущий ремонт,  ОПУ</t>
  </si>
  <si>
    <t>Содержание жилья и текущий ремонт, ОПУ</t>
  </si>
  <si>
    <t>Прочистка вентиляции</t>
  </si>
  <si>
    <t>Январь 2021г.</t>
  </si>
  <si>
    <t>Февраль 2021г.</t>
  </si>
  <si>
    <t>Март 2021г.</t>
  </si>
  <si>
    <t>Апрель 2021г.</t>
  </si>
  <si>
    <t>Май 2021г.</t>
  </si>
  <si>
    <t>Июнь 2021г.</t>
  </si>
  <si>
    <t>Июль 2021г.</t>
  </si>
  <si>
    <t>Август 2021г.</t>
  </si>
  <si>
    <t>Сентябрь 2021г.</t>
  </si>
  <si>
    <t>Октябрь 2021г.</t>
  </si>
  <si>
    <t>Ноябрь 2021г.</t>
  </si>
  <si>
    <t>Декабрь 2021г.</t>
  </si>
  <si>
    <t>Всего:                       за  2021г.</t>
  </si>
  <si>
    <t>ОТЧЕТ по дому Разина, 74 за период 01.01.2021г. по 31.12.2021г.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</si>
</sst>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7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164" fontId="6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164" fontId="6" fillId="4" borderId="4" xfId="0" applyNumberFormat="1" applyFont="1" applyFill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  <xf numFmtId="164" fontId="5" fillId="0" borderId="8" xfId="0" applyNumberFormat="1" applyFont="1" applyBorder="1" applyAlignment="1">
      <alignment horizontal="left" vertical="top" wrapText="1"/>
    </xf>
    <xf numFmtId="164" fontId="6" fillId="0" borderId="5" xfId="0" applyNumberFormat="1" applyFont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0" fontId="5" fillId="0" borderId="9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0" fillId="0" borderId="0" xfId="0" applyFill="1"/>
    <xf numFmtId="164" fontId="5" fillId="0" borderId="3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topLeftCell="A28" zoomScale="75" workbookViewId="0">
      <selection activeCell="A10" sqref="A10:XFD15"/>
    </sheetView>
  </sheetViews>
  <sheetFormatPr defaultRowHeight="13.2" x14ac:dyDescent="0.25"/>
  <cols>
    <col min="1" max="1" width="57" customWidth="1"/>
    <col min="2" max="11" width="14" customWidth="1"/>
    <col min="12" max="13" width="14.33203125" customWidth="1"/>
    <col min="14" max="14" width="15.33203125" customWidth="1"/>
  </cols>
  <sheetData>
    <row r="1" spans="1:16" ht="20.25" customHeight="1" thickBot="1" x14ac:dyDescent="0.45">
      <c r="A1" s="28" t="s">
        <v>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7"/>
      <c r="P1" s="27"/>
    </row>
    <row r="2" spans="1:16" ht="45.75" customHeight="1" thickBot="1" x14ac:dyDescent="0.3">
      <c r="A2" s="1" t="s">
        <v>0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N2" s="2" t="s">
        <v>44</v>
      </c>
    </row>
    <row r="3" spans="1:16" ht="23.25" customHeight="1" thickBot="1" x14ac:dyDescent="0.3">
      <c r="A3" s="3" t="s">
        <v>15</v>
      </c>
      <c r="B3" s="11">
        <v>-399723.69</v>
      </c>
      <c r="C3" s="11">
        <f>B42</f>
        <v>-395629.41713000002</v>
      </c>
      <c r="D3" s="11">
        <f>C42</f>
        <v>-385292.63794000004</v>
      </c>
      <c r="E3" s="11">
        <f t="shared" ref="E3:E4" si="0">D42</f>
        <v>-356805.35899000004</v>
      </c>
      <c r="F3" s="11">
        <f t="shared" ref="F3:F4" si="1">E42</f>
        <v>-360439.05544000003</v>
      </c>
      <c r="G3" s="11">
        <f t="shared" ref="G3:G4" si="2">F42</f>
        <v>-353066.83650000003</v>
      </c>
      <c r="H3" s="11">
        <f t="shared" ref="H3:H4" si="3">G42</f>
        <v>-368178.77956000005</v>
      </c>
      <c r="I3" s="11">
        <f t="shared" ref="I3:I4" si="4">H42</f>
        <v>-353937.34683000005</v>
      </c>
      <c r="J3" s="11">
        <f t="shared" ref="J3:J4" si="5">I42</f>
        <v>-364344.78811000008</v>
      </c>
      <c r="K3" s="11">
        <f t="shared" ref="K3:K4" si="6">J42</f>
        <v>-346840.75216000009</v>
      </c>
      <c r="L3" s="11">
        <f t="shared" ref="L3:L4" si="7">K42</f>
        <v>-353711.29178000009</v>
      </c>
      <c r="M3" s="11">
        <f t="shared" ref="M3:M4" si="8">L42</f>
        <v>-341426.32957000012</v>
      </c>
      <c r="N3" s="11">
        <f>B3</f>
        <v>-399723.69</v>
      </c>
    </row>
    <row r="4" spans="1:16" ht="21" customHeight="1" thickBot="1" x14ac:dyDescent="0.3">
      <c r="A4" s="3" t="s">
        <v>13</v>
      </c>
      <c r="B4" s="11">
        <v>-249683.18</v>
      </c>
      <c r="C4" s="11">
        <f>B43</f>
        <v>-255140.16999999998</v>
      </c>
      <c r="D4" s="11">
        <f>C43</f>
        <v>-257358.38999999998</v>
      </c>
      <c r="E4" s="11">
        <f t="shared" si="0"/>
        <v>-255660.47</v>
      </c>
      <c r="F4" s="11">
        <f t="shared" si="1"/>
        <v>-256257.04</v>
      </c>
      <c r="G4" s="11">
        <f t="shared" si="2"/>
        <v>-269102.55</v>
      </c>
      <c r="H4" s="11">
        <f t="shared" si="3"/>
        <v>-269009.65999999997</v>
      </c>
      <c r="I4" s="11">
        <f t="shared" si="4"/>
        <v>-295549.02999999997</v>
      </c>
      <c r="J4" s="11">
        <f t="shared" si="5"/>
        <v>-280897.45999999996</v>
      </c>
      <c r="K4" s="11">
        <f t="shared" si="6"/>
        <v>-284921.02999999997</v>
      </c>
      <c r="L4" s="11">
        <f t="shared" si="7"/>
        <v>-295369.82999999996</v>
      </c>
      <c r="M4" s="11">
        <f t="shared" si="8"/>
        <v>-292081.90999999997</v>
      </c>
      <c r="N4" s="11">
        <f>B4</f>
        <v>-249683.18</v>
      </c>
    </row>
    <row r="5" spans="1:16" ht="20.25" customHeight="1" thickBot="1" x14ac:dyDescent="0.3">
      <c r="A5" s="4" t="s">
        <v>12</v>
      </c>
      <c r="B5" s="12">
        <f>SUM(B6:B14)</f>
        <v>62161.11</v>
      </c>
      <c r="C5" s="12">
        <f t="shared" ref="C5:D5" si="9">SUM(C6:C14)</f>
        <v>65516.97</v>
      </c>
      <c r="D5" s="12">
        <f t="shared" si="9"/>
        <v>72577.649999999994</v>
      </c>
      <c r="E5" s="12">
        <f>SUM(E6:E14)</f>
        <v>59489.35</v>
      </c>
      <c r="F5" s="12">
        <f t="shared" ref="F5:G5" si="10">SUM(F6:F14)</f>
        <v>64804.12</v>
      </c>
      <c r="G5" s="12">
        <f t="shared" si="10"/>
        <v>64804.12</v>
      </c>
      <c r="H5" s="12">
        <f>SUM(H6:H14)</f>
        <v>88445.29</v>
      </c>
      <c r="I5" s="12">
        <f t="shared" ref="I5:M5" si="11">SUM(I6:I14)</f>
        <v>65401.060000000012</v>
      </c>
      <c r="J5" s="12">
        <f t="shared" si="11"/>
        <v>78968.55</v>
      </c>
      <c r="K5" s="12">
        <f t="shared" si="11"/>
        <v>79384.539999999994</v>
      </c>
      <c r="L5" s="12">
        <f t="shared" si="11"/>
        <v>71535.23000000001</v>
      </c>
      <c r="M5" s="12">
        <f t="shared" si="11"/>
        <v>76912.709999999992</v>
      </c>
      <c r="N5" s="12">
        <f>SUM(B5:M5)</f>
        <v>850000.70000000007</v>
      </c>
    </row>
    <row r="6" spans="1:16" ht="21" customHeight="1" thickBot="1" x14ac:dyDescent="0.3">
      <c r="A6" s="8" t="s">
        <v>29</v>
      </c>
      <c r="B6" s="13">
        <f t="shared" ref="B6:G6" si="12">54698.1+1645.9</f>
        <v>56344</v>
      </c>
      <c r="C6" s="13">
        <f t="shared" si="12"/>
        <v>56344</v>
      </c>
      <c r="D6" s="13">
        <f t="shared" si="12"/>
        <v>56344</v>
      </c>
      <c r="E6" s="13">
        <f t="shared" si="12"/>
        <v>56344</v>
      </c>
      <c r="F6" s="13">
        <f t="shared" si="12"/>
        <v>56344</v>
      </c>
      <c r="G6" s="13">
        <f t="shared" si="12"/>
        <v>56344</v>
      </c>
      <c r="H6" s="13">
        <f>54699.66+1645.94</f>
        <v>56345.600000000006</v>
      </c>
      <c r="I6" s="13">
        <f>54699.66+1645.94</f>
        <v>56345.600000000006</v>
      </c>
      <c r="J6" s="13">
        <f>54699.66+1645.94</f>
        <v>56345.600000000006</v>
      </c>
      <c r="K6" s="13">
        <f>61423.31+1645.94</f>
        <v>63069.25</v>
      </c>
      <c r="L6" s="13">
        <f>61423.31+1645.94</f>
        <v>63069.25</v>
      </c>
      <c r="M6" s="13">
        <f>61423.31+1645.94</f>
        <v>63069.25</v>
      </c>
      <c r="N6" s="13">
        <f>SUM(B6:M6)</f>
        <v>696308.54999999993</v>
      </c>
    </row>
    <row r="7" spans="1:16" ht="21.75" customHeight="1" thickBot="1" x14ac:dyDescent="0.3">
      <c r="A7" s="8" t="s">
        <v>16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1585.29</v>
      </c>
      <c r="L7" s="13">
        <v>0</v>
      </c>
      <c r="M7" s="13">
        <v>0</v>
      </c>
      <c r="N7" s="13">
        <f t="shared" ref="N7:N14" si="13">SUM(B7:M7)</f>
        <v>1585.29</v>
      </c>
    </row>
    <row r="8" spans="1:16" ht="18.75" customHeight="1" thickBot="1" x14ac:dyDescent="0.3">
      <c r="A8" s="8" t="s">
        <v>17</v>
      </c>
      <c r="B8" s="13">
        <v>234.99</v>
      </c>
      <c r="C8" s="13">
        <v>0</v>
      </c>
      <c r="D8" s="13">
        <v>0</v>
      </c>
      <c r="E8" s="13">
        <v>-5314.77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f t="shared" si="13"/>
        <v>-5079.7800000000007</v>
      </c>
    </row>
    <row r="9" spans="1:16" ht="18.75" customHeight="1" thickBot="1" x14ac:dyDescent="0.3">
      <c r="A9" s="8" t="s">
        <v>18</v>
      </c>
      <c r="B9" s="13">
        <v>622</v>
      </c>
      <c r="C9" s="13">
        <v>4212.8500000000004</v>
      </c>
      <c r="D9" s="13">
        <v>7773.53</v>
      </c>
      <c r="E9" s="13">
        <v>0</v>
      </c>
      <c r="F9" s="13">
        <v>0</v>
      </c>
      <c r="G9" s="13">
        <v>0</v>
      </c>
      <c r="H9" s="13">
        <v>23633.71</v>
      </c>
      <c r="I9" s="13">
        <v>589.48</v>
      </c>
      <c r="J9" s="13">
        <v>14156.97</v>
      </c>
      <c r="K9" s="13">
        <v>6264.02</v>
      </c>
      <c r="L9" s="13">
        <v>0</v>
      </c>
      <c r="M9" s="13">
        <v>5377.48</v>
      </c>
      <c r="N9" s="13">
        <f t="shared" si="13"/>
        <v>62630.039999999994</v>
      </c>
    </row>
    <row r="10" spans="1:16" ht="18.75" customHeight="1" thickBot="1" x14ac:dyDescent="0.3">
      <c r="A10" s="8" t="s">
        <v>25</v>
      </c>
      <c r="B10" s="13">
        <v>336.12</v>
      </c>
      <c r="C10" s="13">
        <v>336.12</v>
      </c>
      <c r="D10" s="13">
        <v>336.12</v>
      </c>
      <c r="E10" s="13">
        <v>336.12</v>
      </c>
      <c r="F10" s="13">
        <v>336.12</v>
      </c>
      <c r="G10" s="13">
        <v>336.12</v>
      </c>
      <c r="H10" s="13">
        <v>341.98</v>
      </c>
      <c r="I10" s="13">
        <v>341.98</v>
      </c>
      <c r="J10" s="13">
        <v>341.98</v>
      </c>
      <c r="K10" s="13">
        <v>341.98</v>
      </c>
      <c r="L10" s="13">
        <v>341.98</v>
      </c>
      <c r="M10" s="13">
        <v>341.98</v>
      </c>
      <c r="N10" s="13">
        <f t="shared" si="13"/>
        <v>4068.6</v>
      </c>
    </row>
    <row r="11" spans="1:16" ht="18.75" customHeight="1" thickBot="1" x14ac:dyDescent="0.3">
      <c r="A11" s="8" t="s">
        <v>27</v>
      </c>
      <c r="B11" s="13">
        <v>4224</v>
      </c>
      <c r="C11" s="13">
        <v>4224</v>
      </c>
      <c r="D11" s="13">
        <v>4224</v>
      </c>
      <c r="E11" s="13">
        <v>4224</v>
      </c>
      <c r="F11" s="13">
        <v>4224</v>
      </c>
      <c r="G11" s="13">
        <v>4224</v>
      </c>
      <c r="H11" s="13">
        <v>4224</v>
      </c>
      <c r="I11" s="13">
        <v>4224</v>
      </c>
      <c r="J11" s="13">
        <v>4224</v>
      </c>
      <c r="K11" s="13">
        <v>4224</v>
      </c>
      <c r="L11" s="13">
        <v>4224</v>
      </c>
      <c r="M11" s="13">
        <v>4224</v>
      </c>
      <c r="N11" s="13">
        <f t="shared" si="13"/>
        <v>50688</v>
      </c>
    </row>
    <row r="12" spans="1:16" ht="18.75" customHeight="1" thickBot="1" x14ac:dyDescent="0.3">
      <c r="A12" s="22" t="s">
        <v>28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f t="shared" si="13"/>
        <v>0</v>
      </c>
    </row>
    <row r="13" spans="1:16" ht="18.75" customHeight="1" thickBot="1" x14ac:dyDescent="0.3">
      <c r="A13" s="22" t="s">
        <v>31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f t="shared" si="13"/>
        <v>0</v>
      </c>
    </row>
    <row r="14" spans="1:16" ht="18.75" customHeight="1" thickBot="1" x14ac:dyDescent="0.3">
      <c r="A14" s="8" t="s">
        <v>26</v>
      </c>
      <c r="B14" s="13">
        <v>400</v>
      </c>
      <c r="C14" s="13">
        <v>400</v>
      </c>
      <c r="D14" s="13">
        <v>3900</v>
      </c>
      <c r="E14" s="13">
        <v>3900</v>
      </c>
      <c r="F14" s="13">
        <v>3900</v>
      </c>
      <c r="G14" s="13">
        <v>3900</v>
      </c>
      <c r="H14" s="13">
        <v>3900</v>
      </c>
      <c r="I14" s="13">
        <v>3900</v>
      </c>
      <c r="J14" s="13">
        <v>3900</v>
      </c>
      <c r="K14" s="13">
        <v>3900</v>
      </c>
      <c r="L14" s="13">
        <v>3900</v>
      </c>
      <c r="M14" s="13">
        <v>3900</v>
      </c>
      <c r="N14" s="13">
        <f t="shared" si="13"/>
        <v>39800</v>
      </c>
    </row>
    <row r="15" spans="1:16" ht="20.25" customHeight="1" thickBot="1" x14ac:dyDescent="0.3">
      <c r="A15" s="6" t="s">
        <v>8</v>
      </c>
      <c r="B15" s="14">
        <f>SUM(B16:B24)</f>
        <v>56704.119999999988</v>
      </c>
      <c r="C15" s="14">
        <f t="shared" ref="C15:G15" si="14">SUM(C16:C24)</f>
        <v>63298.750000000007</v>
      </c>
      <c r="D15" s="14">
        <f t="shared" si="14"/>
        <v>74275.569999999992</v>
      </c>
      <c r="E15" s="14">
        <f t="shared" si="14"/>
        <v>58892.78</v>
      </c>
      <c r="F15" s="14">
        <f t="shared" si="14"/>
        <v>51958.61</v>
      </c>
      <c r="G15" s="14">
        <f t="shared" si="14"/>
        <v>64897.009999999995</v>
      </c>
      <c r="H15" s="14">
        <f>SUM(H16:H24)</f>
        <v>61905.920000000006</v>
      </c>
      <c r="I15" s="14">
        <f t="shared" ref="I15:M15" si="15">SUM(I16:I24)</f>
        <v>80052.63</v>
      </c>
      <c r="J15" s="14">
        <f t="shared" si="15"/>
        <v>74944.98</v>
      </c>
      <c r="K15" s="14">
        <f t="shared" si="15"/>
        <v>68935.739999999991</v>
      </c>
      <c r="L15" s="14">
        <f t="shared" si="15"/>
        <v>74823.149999999994</v>
      </c>
      <c r="M15" s="14">
        <f t="shared" si="15"/>
        <v>72382.039999999994</v>
      </c>
      <c r="N15" s="14">
        <f>SUM(B15:M15)</f>
        <v>803071.3</v>
      </c>
    </row>
    <row r="16" spans="1:16" ht="21" customHeight="1" thickBot="1" x14ac:dyDescent="0.3">
      <c r="A16" s="8" t="s">
        <v>30</v>
      </c>
      <c r="B16" s="13">
        <f>47776.7+1438.77</f>
        <v>49215.469999999994</v>
      </c>
      <c r="C16" s="13">
        <f>55783+1475.75</f>
        <v>57258.75</v>
      </c>
      <c r="D16" s="13">
        <f>57294.01+1665.44</f>
        <v>58959.450000000004</v>
      </c>
      <c r="E16" s="13">
        <f>48760.9+1336.6</f>
        <v>50097.5</v>
      </c>
      <c r="F16" s="13">
        <f>42355.81+1568.94</f>
        <v>43924.75</v>
      </c>
      <c r="G16" s="13">
        <f>52381.78+1419.69</f>
        <v>53801.47</v>
      </c>
      <c r="H16" s="13">
        <f>51387.11+1659.85</f>
        <v>53046.96</v>
      </c>
      <c r="I16" s="13">
        <f>50733.21+1554.87</f>
        <v>52288.08</v>
      </c>
      <c r="J16" s="13">
        <f>64008.62+1710.43-47.44</f>
        <v>65671.61</v>
      </c>
      <c r="K16" s="13">
        <f>47961.33+1458.71</f>
        <v>49420.04</v>
      </c>
      <c r="L16" s="13">
        <f>57668.49+1579.73</f>
        <v>59248.22</v>
      </c>
      <c r="M16" s="13">
        <f>62065.79+1601.2</f>
        <v>63666.99</v>
      </c>
      <c r="N16" s="13">
        <f>SUM(B16:M16)</f>
        <v>656599.29</v>
      </c>
    </row>
    <row r="17" spans="1:14" ht="22.5" customHeight="1" thickBot="1" x14ac:dyDescent="0.3">
      <c r="A17" s="8" t="s">
        <v>16</v>
      </c>
      <c r="B17" s="13">
        <v>21.96</v>
      </c>
      <c r="C17" s="13">
        <v>134.94</v>
      </c>
      <c r="D17" s="13">
        <v>104.18</v>
      </c>
      <c r="E17" s="13">
        <v>1.07</v>
      </c>
      <c r="F17" s="13">
        <v>2.44</v>
      </c>
      <c r="G17" s="13">
        <v>2.54</v>
      </c>
      <c r="H17" s="13">
        <v>26.41</v>
      </c>
      <c r="I17" s="13">
        <v>1.4</v>
      </c>
      <c r="J17" s="13">
        <v>0</v>
      </c>
      <c r="K17" s="13">
        <v>0.7</v>
      </c>
      <c r="L17" s="13">
        <v>1345.46</v>
      </c>
      <c r="M17" s="13">
        <v>78.540000000000006</v>
      </c>
      <c r="N17" s="13">
        <f t="shared" ref="N17:N24" si="16">SUM(B17:M17)</f>
        <v>1719.64</v>
      </c>
    </row>
    <row r="18" spans="1:14" ht="21" customHeight="1" thickBot="1" x14ac:dyDescent="0.3">
      <c r="A18" s="8" t="s">
        <v>17</v>
      </c>
      <c r="B18" s="13">
        <v>205.25</v>
      </c>
      <c r="C18" s="13">
        <v>239.73</v>
      </c>
      <c r="D18" s="13">
        <v>39.630000000000003</v>
      </c>
      <c r="E18" s="13">
        <v>-4864.97</v>
      </c>
      <c r="F18" s="13">
        <v>0</v>
      </c>
      <c r="G18" s="13">
        <v>0</v>
      </c>
      <c r="H18" s="13">
        <v>0</v>
      </c>
      <c r="I18" s="13">
        <v>0</v>
      </c>
      <c r="J18" s="13">
        <v>-83.02</v>
      </c>
      <c r="K18" s="13">
        <v>0</v>
      </c>
      <c r="L18" s="13">
        <v>0</v>
      </c>
      <c r="M18" s="13">
        <v>0</v>
      </c>
      <c r="N18" s="13">
        <f t="shared" si="16"/>
        <v>-4463.380000000001</v>
      </c>
    </row>
    <row r="19" spans="1:14" ht="21" customHeight="1" thickBot="1" x14ac:dyDescent="0.3">
      <c r="A19" s="9" t="s">
        <v>18</v>
      </c>
      <c r="B19" s="15">
        <v>2564.12</v>
      </c>
      <c r="C19" s="15">
        <v>1010.06</v>
      </c>
      <c r="D19" s="15">
        <v>4117.46</v>
      </c>
      <c r="E19" s="15">
        <v>6277.76</v>
      </c>
      <c r="F19" s="15">
        <v>295.8</v>
      </c>
      <c r="G19" s="15">
        <v>105.73</v>
      </c>
      <c r="H19" s="15">
        <v>270.85000000000002</v>
      </c>
      <c r="I19" s="15">
        <v>19971.650000000001</v>
      </c>
      <c r="J19" s="15">
        <v>1258.92</v>
      </c>
      <c r="K19" s="16">
        <v>11982.36</v>
      </c>
      <c r="L19" s="17">
        <v>6099.27</v>
      </c>
      <c r="M19" s="17">
        <v>610.65</v>
      </c>
      <c r="N19" s="13">
        <f t="shared" si="16"/>
        <v>54564.63</v>
      </c>
    </row>
    <row r="20" spans="1:14" ht="21" customHeight="1" thickBot="1" x14ac:dyDescent="0.3">
      <c r="A20" s="10" t="s">
        <v>25</v>
      </c>
      <c r="B20" s="16">
        <v>293.58999999999997</v>
      </c>
      <c r="C20" s="16">
        <v>342.89</v>
      </c>
      <c r="D20" s="16">
        <v>352.44</v>
      </c>
      <c r="E20" s="17">
        <v>299.58999999999997</v>
      </c>
      <c r="F20" s="17">
        <v>252.59</v>
      </c>
      <c r="G20" s="16">
        <v>329.59</v>
      </c>
      <c r="H20" s="16">
        <v>315.8</v>
      </c>
      <c r="I20" s="17">
        <v>316.44</v>
      </c>
      <c r="J20" s="16">
        <v>327.26</v>
      </c>
      <c r="K20" s="13">
        <v>300.62</v>
      </c>
      <c r="L20" s="13">
        <v>322.72000000000003</v>
      </c>
      <c r="M20" s="13">
        <v>318.67</v>
      </c>
      <c r="N20" s="13">
        <f t="shared" si="16"/>
        <v>3772.2</v>
      </c>
    </row>
    <row r="21" spans="1:14" ht="21" customHeight="1" thickBot="1" x14ac:dyDescent="0.3">
      <c r="A21" s="21" t="s">
        <v>27</v>
      </c>
      <c r="B21" s="18">
        <v>3696.64</v>
      </c>
      <c r="C21" s="18">
        <v>3791.3</v>
      </c>
      <c r="D21" s="16">
        <v>4258.37</v>
      </c>
      <c r="E21" s="17">
        <v>3431.83</v>
      </c>
      <c r="F21" s="17">
        <v>3832.5</v>
      </c>
      <c r="G21" s="16">
        <v>3599.84</v>
      </c>
      <c r="H21" s="13">
        <v>4117.55</v>
      </c>
      <c r="I21" s="13">
        <v>3825.06</v>
      </c>
      <c r="J21" s="26">
        <v>4170.21</v>
      </c>
      <c r="K21" s="13">
        <v>3582.02</v>
      </c>
      <c r="L21" s="13">
        <v>3986.23</v>
      </c>
      <c r="M21" s="13">
        <v>4007.19</v>
      </c>
      <c r="N21" s="13">
        <f t="shared" si="16"/>
        <v>46298.740000000005</v>
      </c>
    </row>
    <row r="22" spans="1:14" ht="21" customHeight="1" thickBot="1" x14ac:dyDescent="0.3">
      <c r="A22" s="22" t="s">
        <v>28</v>
      </c>
      <c r="B22" s="18">
        <v>0</v>
      </c>
      <c r="C22" s="18">
        <v>0</v>
      </c>
      <c r="D22" s="16">
        <v>0</v>
      </c>
      <c r="E22" s="18">
        <v>0</v>
      </c>
      <c r="F22" s="18">
        <v>0.53</v>
      </c>
      <c r="G22" s="16">
        <v>0</v>
      </c>
      <c r="H22" s="13">
        <v>11.5</v>
      </c>
      <c r="I22" s="13">
        <v>0</v>
      </c>
      <c r="J22" s="16">
        <v>0</v>
      </c>
      <c r="K22" s="13">
        <v>0</v>
      </c>
      <c r="L22" s="13">
        <v>58.12</v>
      </c>
      <c r="M22" s="13">
        <v>0</v>
      </c>
      <c r="N22" s="13">
        <f t="shared" si="16"/>
        <v>70.149999999999991</v>
      </c>
    </row>
    <row r="23" spans="1:14" ht="21" customHeight="1" thickBot="1" x14ac:dyDescent="0.3">
      <c r="A23" s="22" t="s">
        <v>31</v>
      </c>
      <c r="B23" s="18">
        <v>607.09</v>
      </c>
      <c r="C23" s="18">
        <v>421.08</v>
      </c>
      <c r="D23" s="16">
        <v>1044.04</v>
      </c>
      <c r="E23" s="16">
        <v>50</v>
      </c>
      <c r="F23" s="16">
        <v>50</v>
      </c>
      <c r="G23" s="17">
        <v>1657.84</v>
      </c>
      <c r="H23" s="13">
        <v>516.85</v>
      </c>
      <c r="I23" s="13">
        <v>50</v>
      </c>
      <c r="J23" s="26">
        <v>0</v>
      </c>
      <c r="K23" s="13">
        <v>50</v>
      </c>
      <c r="L23" s="13">
        <v>163.13</v>
      </c>
      <c r="M23" s="13">
        <v>100</v>
      </c>
      <c r="N23" s="13">
        <f t="shared" si="16"/>
        <v>4710.0300000000007</v>
      </c>
    </row>
    <row r="24" spans="1:14" ht="21" customHeight="1" thickBot="1" x14ac:dyDescent="0.3">
      <c r="A24" s="8" t="s">
        <v>26</v>
      </c>
      <c r="B24" s="18">
        <v>100</v>
      </c>
      <c r="C24" s="16">
        <v>100</v>
      </c>
      <c r="D24" s="16">
        <v>5400</v>
      </c>
      <c r="E24" s="17">
        <v>3600</v>
      </c>
      <c r="F24" s="17">
        <v>3600</v>
      </c>
      <c r="G24" s="17">
        <v>5400</v>
      </c>
      <c r="H24" s="13">
        <v>3600</v>
      </c>
      <c r="I24" s="13">
        <v>3600</v>
      </c>
      <c r="J24" s="26">
        <v>3600</v>
      </c>
      <c r="K24" s="26">
        <v>3600</v>
      </c>
      <c r="L24" s="26">
        <v>3600</v>
      </c>
      <c r="M24" s="26">
        <v>3600</v>
      </c>
      <c r="N24" s="13">
        <f t="shared" si="16"/>
        <v>39800</v>
      </c>
    </row>
    <row r="25" spans="1:14" ht="21.75" customHeight="1" thickBot="1" x14ac:dyDescent="0.3">
      <c r="A25" s="7" t="s">
        <v>23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0"/>
    </row>
    <row r="26" spans="1:14" ht="19.5" customHeight="1" thickBot="1" x14ac:dyDescent="0.3">
      <c r="A26" s="8" t="s">
        <v>1</v>
      </c>
      <c r="B26" s="13">
        <f t="shared" ref="B26:M26" si="17">3501.8*0.55</f>
        <v>1925.9900000000002</v>
      </c>
      <c r="C26" s="13">
        <f t="shared" si="17"/>
        <v>1925.9900000000002</v>
      </c>
      <c r="D26" s="13">
        <f t="shared" si="17"/>
        <v>1925.9900000000002</v>
      </c>
      <c r="E26" s="13">
        <f t="shared" si="17"/>
        <v>1925.9900000000002</v>
      </c>
      <c r="F26" s="13">
        <f t="shared" si="17"/>
        <v>1925.9900000000002</v>
      </c>
      <c r="G26" s="13">
        <f t="shared" si="17"/>
        <v>1925.9900000000002</v>
      </c>
      <c r="H26" s="13">
        <f t="shared" si="17"/>
        <v>1925.9900000000002</v>
      </c>
      <c r="I26" s="13">
        <f t="shared" si="17"/>
        <v>1925.9900000000002</v>
      </c>
      <c r="J26" s="13">
        <f t="shared" si="17"/>
        <v>1925.9900000000002</v>
      </c>
      <c r="K26" s="13">
        <f t="shared" si="17"/>
        <v>1925.9900000000002</v>
      </c>
      <c r="L26" s="13">
        <f t="shared" si="17"/>
        <v>1925.9900000000002</v>
      </c>
      <c r="M26" s="13">
        <f t="shared" si="17"/>
        <v>1925.9900000000002</v>
      </c>
      <c r="N26" s="13">
        <f t="shared" ref="N26:N38" si="18">SUM(B26:M26)</f>
        <v>23111.880000000005</v>
      </c>
    </row>
    <row r="27" spans="1:14" ht="22.5" customHeight="1" thickBot="1" x14ac:dyDescent="0.3">
      <c r="A27" s="8" t="s">
        <v>2</v>
      </c>
      <c r="B27" s="13">
        <f t="shared" ref="B27:M27" si="19">3501.8*0.17</f>
        <v>595.30600000000004</v>
      </c>
      <c r="C27" s="13">
        <f t="shared" si="19"/>
        <v>595.30600000000004</v>
      </c>
      <c r="D27" s="13">
        <f t="shared" si="19"/>
        <v>595.30600000000004</v>
      </c>
      <c r="E27" s="13">
        <f t="shared" si="19"/>
        <v>595.30600000000004</v>
      </c>
      <c r="F27" s="13">
        <f t="shared" si="19"/>
        <v>595.30600000000004</v>
      </c>
      <c r="G27" s="13">
        <f t="shared" si="19"/>
        <v>595.30600000000004</v>
      </c>
      <c r="H27" s="13">
        <f t="shared" si="19"/>
        <v>595.30600000000004</v>
      </c>
      <c r="I27" s="13">
        <f t="shared" si="19"/>
        <v>595.30600000000004</v>
      </c>
      <c r="J27" s="13">
        <f t="shared" si="19"/>
        <v>595.30600000000004</v>
      </c>
      <c r="K27" s="13">
        <f t="shared" si="19"/>
        <v>595.30600000000004</v>
      </c>
      <c r="L27" s="13">
        <f t="shared" si="19"/>
        <v>595.30600000000004</v>
      </c>
      <c r="M27" s="13">
        <f t="shared" si="19"/>
        <v>595.30600000000004</v>
      </c>
      <c r="N27" s="13">
        <f t="shared" si="18"/>
        <v>7143.6720000000023</v>
      </c>
    </row>
    <row r="28" spans="1:14" ht="21" customHeight="1" thickBot="1" x14ac:dyDescent="0.3">
      <c r="A28" s="8" t="s">
        <v>3</v>
      </c>
      <c r="B28" s="13">
        <f>61761.11*2.3%</f>
        <v>1420.5055299999999</v>
      </c>
      <c r="C28" s="13">
        <f>65116.97*2.3%</f>
        <v>1497.69031</v>
      </c>
      <c r="D28" s="13">
        <f>68677.65*2.3%</f>
        <v>1579.5859499999999</v>
      </c>
      <c r="E28" s="13">
        <f>55589.35*2.3%</f>
        <v>1278.5550499999999</v>
      </c>
      <c r="F28" s="13">
        <f>60904.12*2.3%</f>
        <v>1400.79476</v>
      </c>
      <c r="G28" s="13">
        <f>60904.12*2.3%</f>
        <v>1400.79476</v>
      </c>
      <c r="H28" s="13">
        <f>84545.29*2.3%</f>
        <v>1944.5416699999998</v>
      </c>
      <c r="I28" s="13">
        <f>61501.06*2.3%</f>
        <v>1414.5243799999998</v>
      </c>
      <c r="J28" s="13">
        <f>75068.55*2.3%</f>
        <v>1726.57665</v>
      </c>
      <c r="K28" s="13">
        <f>75484.54*2.3%</f>
        <v>1736.1444199999999</v>
      </c>
      <c r="L28" s="13">
        <f>67635.23*2.3%</f>
        <v>1555.6102899999998</v>
      </c>
      <c r="M28" s="13">
        <f>73012.71*2.3%</f>
        <v>1679.2923300000002</v>
      </c>
      <c r="N28" s="13">
        <f t="shared" si="18"/>
        <v>18634.616099999999</v>
      </c>
    </row>
    <row r="29" spans="1:14" ht="23.25" customHeight="1" thickBot="1" x14ac:dyDescent="0.3">
      <c r="A29" s="8" t="s">
        <v>4</v>
      </c>
      <c r="B29" s="13">
        <f>56604.12*3%</f>
        <v>1698.1236000000001</v>
      </c>
      <c r="C29" s="13">
        <f>63198.75*3%</f>
        <v>1895.9624999999999</v>
      </c>
      <c r="D29" s="13">
        <f>68875.57*3%</f>
        <v>2066.2671</v>
      </c>
      <c r="E29" s="13">
        <f>55292.78*3%</f>
        <v>1658.7833999999998</v>
      </c>
      <c r="F29" s="13">
        <f>48358.61*3%</f>
        <v>1450.7583</v>
      </c>
      <c r="G29" s="13">
        <f>59497.01*3%</f>
        <v>1784.9103</v>
      </c>
      <c r="H29" s="13">
        <f>58305.92*3%</f>
        <v>1749.1776</v>
      </c>
      <c r="I29" s="13">
        <f>76452.63*3%</f>
        <v>2293.5789</v>
      </c>
      <c r="J29" s="13">
        <f>71344.98*3%</f>
        <v>2140.3493999999996</v>
      </c>
      <c r="K29" s="13">
        <f>65335.74*3%</f>
        <v>1960.0721999999998</v>
      </c>
      <c r="L29" s="13">
        <f>71223.15*3%</f>
        <v>2136.6944999999996</v>
      </c>
      <c r="M29" s="13">
        <f>68782.04*3%</f>
        <v>2063.4611999999997</v>
      </c>
      <c r="N29" s="13">
        <f t="shared" si="18"/>
        <v>22898.138999999996</v>
      </c>
    </row>
    <row r="30" spans="1:14" ht="23.25" customHeight="1" thickBot="1" x14ac:dyDescent="0.3">
      <c r="A30" s="5" t="s">
        <v>9</v>
      </c>
      <c r="B30" s="13">
        <v>25913.32</v>
      </c>
      <c r="C30" s="13">
        <v>25913.32</v>
      </c>
      <c r="D30" s="13">
        <v>25913.32</v>
      </c>
      <c r="E30" s="13">
        <v>25913.32</v>
      </c>
      <c r="F30" s="13">
        <v>25913.32</v>
      </c>
      <c r="G30" s="13">
        <v>25913.32</v>
      </c>
      <c r="H30" s="13">
        <v>25913.32</v>
      </c>
      <c r="I30" s="13">
        <v>25913.32</v>
      </c>
      <c r="J30" s="13">
        <v>25913.32</v>
      </c>
      <c r="K30" s="13">
        <f>3501.9*8.5</f>
        <v>29766.15</v>
      </c>
      <c r="L30" s="13">
        <f t="shared" ref="L30:M30" si="20">3501.9*8.5</f>
        <v>29766.15</v>
      </c>
      <c r="M30" s="13">
        <f t="shared" si="20"/>
        <v>29766.15</v>
      </c>
      <c r="N30" s="13">
        <f t="shared" si="18"/>
        <v>322518.33000000007</v>
      </c>
    </row>
    <row r="31" spans="1:14" ht="22.5" customHeight="1" thickBot="1" x14ac:dyDescent="0.3">
      <c r="A31" s="8" t="s">
        <v>19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f>1391.19+194.06</f>
        <v>1585.25</v>
      </c>
      <c r="K31" s="13">
        <v>0</v>
      </c>
      <c r="L31" s="13">
        <v>0</v>
      </c>
      <c r="M31" s="13">
        <v>0</v>
      </c>
      <c r="N31" s="13">
        <f t="shared" si="18"/>
        <v>1585.25</v>
      </c>
    </row>
    <row r="32" spans="1:14" ht="23.25" customHeight="1" thickBot="1" x14ac:dyDescent="0.3">
      <c r="A32" s="8" t="s">
        <v>20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f t="shared" si="18"/>
        <v>0</v>
      </c>
    </row>
    <row r="33" spans="1:14" s="25" customFormat="1" ht="22.5" customHeight="1" thickBot="1" x14ac:dyDescent="0.3">
      <c r="A33" s="23" t="s">
        <v>21</v>
      </c>
      <c r="B33" s="24">
        <v>4212.78</v>
      </c>
      <c r="C33" s="24">
        <v>7773.48</v>
      </c>
      <c r="D33" s="24">
        <v>0</v>
      </c>
      <c r="E33" s="24">
        <v>0</v>
      </c>
      <c r="F33" s="24">
        <v>0</v>
      </c>
      <c r="G33" s="24">
        <v>23633.61</v>
      </c>
      <c r="H33" s="24">
        <v>589.5</v>
      </c>
      <c r="I33" s="24">
        <v>14157</v>
      </c>
      <c r="J33" s="24">
        <v>6264</v>
      </c>
      <c r="K33" s="24">
        <v>0</v>
      </c>
      <c r="L33" s="24">
        <v>5377.5</v>
      </c>
      <c r="M33" s="24">
        <v>3942</v>
      </c>
      <c r="N33" s="24">
        <f>SUM(B33:M33)</f>
        <v>65949.87</v>
      </c>
    </row>
    <row r="34" spans="1:14" ht="23.25" customHeight="1" thickBot="1" x14ac:dyDescent="0.3">
      <c r="A34" s="10" t="s">
        <v>25</v>
      </c>
      <c r="B34" s="16">
        <v>336.01</v>
      </c>
      <c r="C34" s="16">
        <v>336.01</v>
      </c>
      <c r="D34" s="16">
        <v>336.01</v>
      </c>
      <c r="E34" s="16">
        <v>336.01</v>
      </c>
      <c r="F34" s="16">
        <v>336.01</v>
      </c>
      <c r="G34" s="16">
        <v>336.01</v>
      </c>
      <c r="H34" s="16">
        <v>342.04</v>
      </c>
      <c r="I34" s="16">
        <v>342.04</v>
      </c>
      <c r="J34" s="16">
        <v>342.04</v>
      </c>
      <c r="K34" s="16">
        <v>342.04</v>
      </c>
      <c r="L34" s="16">
        <v>342.04</v>
      </c>
      <c r="M34" s="16">
        <v>342.04</v>
      </c>
      <c r="N34" s="13">
        <f t="shared" si="18"/>
        <v>4068.2999999999997</v>
      </c>
    </row>
    <row r="35" spans="1:14" ht="22.5" customHeight="1" thickBot="1" x14ac:dyDescent="0.3">
      <c r="A35" s="8" t="s">
        <v>6</v>
      </c>
      <c r="B35" s="13">
        <f>3501.8*2.34</f>
        <v>8194.2119999999995</v>
      </c>
      <c r="C35" s="13">
        <f t="shared" ref="C35:J35" si="21">3501.8*2.34</f>
        <v>8194.2119999999995</v>
      </c>
      <c r="D35" s="13">
        <f t="shared" si="21"/>
        <v>8194.2119999999995</v>
      </c>
      <c r="E35" s="13">
        <f t="shared" si="21"/>
        <v>8194.2119999999995</v>
      </c>
      <c r="F35" s="13">
        <f t="shared" si="21"/>
        <v>8194.2119999999995</v>
      </c>
      <c r="G35" s="13">
        <f t="shared" si="21"/>
        <v>8194.2119999999995</v>
      </c>
      <c r="H35" s="13">
        <f t="shared" si="21"/>
        <v>8194.2119999999995</v>
      </c>
      <c r="I35" s="13">
        <f t="shared" si="21"/>
        <v>8194.2119999999995</v>
      </c>
      <c r="J35" s="13">
        <f t="shared" si="21"/>
        <v>8194.2119999999995</v>
      </c>
      <c r="K35" s="13">
        <f>3501.9*2.63</f>
        <v>9209.9969999999994</v>
      </c>
      <c r="L35" s="13">
        <f t="shared" ref="L35:M35" si="22">3501.9*2.63</f>
        <v>9209.9969999999994</v>
      </c>
      <c r="M35" s="13">
        <f t="shared" si="22"/>
        <v>9209.9969999999994</v>
      </c>
      <c r="N35" s="13">
        <f t="shared" si="18"/>
        <v>101377.899</v>
      </c>
    </row>
    <row r="36" spans="1:14" ht="18.75" customHeight="1" thickBot="1" x14ac:dyDescent="0.3">
      <c r="A36" s="8" t="s">
        <v>27</v>
      </c>
      <c r="B36" s="13">
        <v>3340</v>
      </c>
      <c r="C36" s="13">
        <v>3690</v>
      </c>
      <c r="D36" s="13">
        <v>3445</v>
      </c>
      <c r="E36" s="13">
        <v>3930</v>
      </c>
      <c r="F36" s="13">
        <v>3630</v>
      </c>
      <c r="G36" s="13">
        <v>3359</v>
      </c>
      <c r="H36" s="13">
        <v>3900</v>
      </c>
      <c r="I36" s="13">
        <v>3720</v>
      </c>
      <c r="J36" s="13">
        <v>3850</v>
      </c>
      <c r="K36" s="13">
        <v>3390</v>
      </c>
      <c r="L36" s="13">
        <v>3520</v>
      </c>
      <c r="M36" s="13">
        <v>4000</v>
      </c>
      <c r="N36" s="13">
        <f t="shared" si="18"/>
        <v>43774</v>
      </c>
    </row>
    <row r="37" spans="1:14" ht="21.75" customHeight="1" thickBot="1" x14ac:dyDescent="0.3">
      <c r="A37" s="8" t="s">
        <v>24</v>
      </c>
      <c r="B37" s="13">
        <v>1140</v>
      </c>
      <c r="C37" s="13">
        <f>1140</f>
        <v>1140</v>
      </c>
      <c r="D37" s="13">
        <v>1140</v>
      </c>
      <c r="E37" s="13">
        <v>1140</v>
      </c>
      <c r="F37" s="13">
        <v>1140</v>
      </c>
      <c r="G37" s="13">
        <f>1140</f>
        <v>1140</v>
      </c>
      <c r="H37" s="13">
        <f>1140</f>
        <v>1140</v>
      </c>
      <c r="I37" s="13">
        <f>1140</f>
        <v>1140</v>
      </c>
      <c r="J37" s="13">
        <f>1140</f>
        <v>1140</v>
      </c>
      <c r="K37" s="13">
        <f>1140</f>
        <v>1140</v>
      </c>
      <c r="L37" s="13">
        <f>1140</f>
        <v>1140</v>
      </c>
      <c r="M37" s="13">
        <f>1140</f>
        <v>1140</v>
      </c>
      <c r="N37" s="13">
        <f t="shared" si="18"/>
        <v>13680</v>
      </c>
    </row>
    <row r="38" spans="1:14" ht="21" customHeight="1" thickBot="1" x14ac:dyDescent="0.3">
      <c r="A38" s="8" t="s">
        <v>14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15127.78</v>
      </c>
      <c r="L38" s="13">
        <v>0</v>
      </c>
      <c r="M38" s="13">
        <v>0</v>
      </c>
      <c r="N38" s="13">
        <f t="shared" si="18"/>
        <v>15127.78</v>
      </c>
    </row>
    <row r="39" spans="1:14" ht="21.75" customHeight="1" thickBot="1" x14ac:dyDescent="0.3">
      <c r="A39" s="8" t="s">
        <v>10</v>
      </c>
      <c r="B39" s="13">
        <f>3833.6</f>
        <v>3833.6</v>
      </c>
      <c r="C39" s="13">
        <v>0</v>
      </c>
      <c r="D39" s="13">
        <f>592.6</f>
        <v>592.6</v>
      </c>
      <c r="E39" s="13">
        <f>1049.3+4216.7+3350.9+437.4+8500</f>
        <v>17554.3</v>
      </c>
      <c r="F39" s="13">
        <v>0</v>
      </c>
      <c r="G39" s="13">
        <f>11725.8</f>
        <v>11725.8</v>
      </c>
      <c r="H39" s="13">
        <f>1370.4</f>
        <v>1370.4</v>
      </c>
      <c r="I39" s="13">
        <f>1461+29303.1</f>
        <v>30764.1</v>
      </c>
      <c r="J39" s="13">
        <f>3763.9</f>
        <v>3763.9</v>
      </c>
      <c r="K39" s="13">
        <f>1584.6+1752.8+3051.3+2015.8+930.7+1277.6</f>
        <v>10612.800000000001</v>
      </c>
      <c r="L39" s="13">
        <f>1727+1115.6+95+4031.3</f>
        <v>6968.9</v>
      </c>
      <c r="M39" s="13">
        <f>6352.2</f>
        <v>6352.2</v>
      </c>
      <c r="N39" s="13">
        <f t="shared" ref="N39" si="23">SUM(B39:M39)</f>
        <v>93538.599999999991</v>
      </c>
    </row>
    <row r="40" spans="1:14" ht="22.5" customHeight="1" thickBot="1" x14ac:dyDescent="0.3">
      <c r="A40" s="4" t="s">
        <v>22</v>
      </c>
      <c r="B40" s="12">
        <f t="shared" ref="B40:N40" si="24">SUM(B26:B39)</f>
        <v>52609.847130000002</v>
      </c>
      <c r="C40" s="12">
        <f t="shared" si="24"/>
        <v>52961.970810000006</v>
      </c>
      <c r="D40" s="12">
        <f t="shared" si="24"/>
        <v>45788.291049999993</v>
      </c>
      <c r="E40" s="12">
        <f t="shared" si="24"/>
        <v>62526.476450000002</v>
      </c>
      <c r="F40" s="12">
        <f t="shared" si="24"/>
        <v>44586.391059999994</v>
      </c>
      <c r="G40" s="12">
        <f t="shared" si="24"/>
        <v>80008.953060000014</v>
      </c>
      <c r="H40" s="12">
        <f t="shared" si="24"/>
        <v>47664.487269999998</v>
      </c>
      <c r="I40" s="12">
        <f t="shared" si="24"/>
        <v>90460.071280000004</v>
      </c>
      <c r="J40" s="12">
        <f t="shared" si="24"/>
        <v>57440.944050000006</v>
      </c>
      <c r="K40" s="12">
        <f t="shared" si="24"/>
        <v>75806.279620000001</v>
      </c>
      <c r="L40" s="12">
        <f t="shared" si="24"/>
        <v>62538.187790000004</v>
      </c>
      <c r="M40" s="12">
        <f t="shared" si="24"/>
        <v>61016.436529999992</v>
      </c>
      <c r="N40" s="12">
        <f t="shared" si="24"/>
        <v>733408.33610000007</v>
      </c>
    </row>
    <row r="41" spans="1:14" ht="23.25" customHeight="1" thickBot="1" x14ac:dyDescent="0.3">
      <c r="A41" s="5" t="s">
        <v>5</v>
      </c>
      <c r="B41" s="15">
        <f t="shared" ref="B41:N41" si="25">B15-B40</f>
        <v>4094.2728699999861</v>
      </c>
      <c r="C41" s="15">
        <f t="shared" si="25"/>
        <v>10336.779190000001</v>
      </c>
      <c r="D41" s="15">
        <f t="shared" si="25"/>
        <v>28487.27895</v>
      </c>
      <c r="E41" s="15">
        <f t="shared" si="25"/>
        <v>-3633.6964500000031</v>
      </c>
      <c r="F41" s="15">
        <f t="shared" si="25"/>
        <v>7372.2189400000061</v>
      </c>
      <c r="G41" s="15">
        <f t="shared" si="25"/>
        <v>-15111.94306000002</v>
      </c>
      <c r="H41" s="15">
        <f t="shared" si="25"/>
        <v>14241.432730000008</v>
      </c>
      <c r="I41" s="15">
        <f t="shared" si="25"/>
        <v>-10407.441279999999</v>
      </c>
      <c r="J41" s="15">
        <f t="shared" si="25"/>
        <v>17504.03594999999</v>
      </c>
      <c r="K41" s="15">
        <f t="shared" si="25"/>
        <v>-6870.5396200000105</v>
      </c>
      <c r="L41" s="15">
        <f t="shared" si="25"/>
        <v>12284.962209999991</v>
      </c>
      <c r="M41" s="15">
        <f t="shared" si="25"/>
        <v>11365.603470000002</v>
      </c>
      <c r="N41" s="13">
        <f t="shared" si="25"/>
        <v>69662.963899999973</v>
      </c>
    </row>
    <row r="42" spans="1:14" ht="23.25" customHeight="1" thickBot="1" x14ac:dyDescent="0.3">
      <c r="A42" s="5" t="s">
        <v>7</v>
      </c>
      <c r="B42" s="17">
        <f t="shared" ref="B42:N42" si="26">B3+B41</f>
        <v>-395629.41713000002</v>
      </c>
      <c r="C42" s="17">
        <f t="shared" si="26"/>
        <v>-385292.63794000004</v>
      </c>
      <c r="D42" s="17">
        <f t="shared" si="26"/>
        <v>-356805.35899000004</v>
      </c>
      <c r="E42" s="17">
        <f t="shared" si="26"/>
        <v>-360439.05544000003</v>
      </c>
      <c r="F42" s="17">
        <f t="shared" si="26"/>
        <v>-353066.83650000003</v>
      </c>
      <c r="G42" s="17">
        <f t="shared" si="26"/>
        <v>-368178.77956000005</v>
      </c>
      <c r="H42" s="17">
        <f t="shared" si="26"/>
        <v>-353937.34683000005</v>
      </c>
      <c r="I42" s="17">
        <f t="shared" si="26"/>
        <v>-364344.78811000008</v>
      </c>
      <c r="J42" s="17">
        <f t="shared" si="26"/>
        <v>-346840.75216000009</v>
      </c>
      <c r="K42" s="17">
        <f t="shared" si="26"/>
        <v>-353711.29178000009</v>
      </c>
      <c r="L42" s="17">
        <f t="shared" si="26"/>
        <v>-341426.32957000012</v>
      </c>
      <c r="M42" s="17">
        <f t="shared" si="26"/>
        <v>-330060.72610000009</v>
      </c>
      <c r="N42" s="17">
        <f t="shared" si="26"/>
        <v>-330060.72610000003</v>
      </c>
    </row>
    <row r="43" spans="1:14" ht="27" customHeight="1" thickBot="1" x14ac:dyDescent="0.3">
      <c r="A43" s="7" t="s">
        <v>11</v>
      </c>
      <c r="B43" s="20">
        <f>B4+B15-B5</f>
        <v>-255140.16999999998</v>
      </c>
      <c r="C43" s="20">
        <f t="shared" ref="C43:N43" si="27">C4+C15-C5</f>
        <v>-257358.38999999998</v>
      </c>
      <c r="D43" s="20">
        <f t="shared" si="27"/>
        <v>-255660.47</v>
      </c>
      <c r="E43" s="20">
        <f t="shared" si="27"/>
        <v>-256257.04</v>
      </c>
      <c r="F43" s="20">
        <f t="shared" si="27"/>
        <v>-269102.55</v>
      </c>
      <c r="G43" s="20">
        <f t="shared" si="27"/>
        <v>-269009.65999999997</v>
      </c>
      <c r="H43" s="20">
        <f t="shared" si="27"/>
        <v>-295549.02999999997</v>
      </c>
      <c r="I43" s="20">
        <f t="shared" si="27"/>
        <v>-280897.45999999996</v>
      </c>
      <c r="J43" s="20">
        <f t="shared" si="27"/>
        <v>-284921.02999999997</v>
      </c>
      <c r="K43" s="20">
        <f t="shared" si="27"/>
        <v>-295369.82999999996</v>
      </c>
      <c r="L43" s="20">
        <f t="shared" si="27"/>
        <v>-292081.90999999997</v>
      </c>
      <c r="M43" s="20">
        <f t="shared" si="27"/>
        <v>-296612.57999999996</v>
      </c>
      <c r="N43" s="20">
        <f t="shared" si="27"/>
        <v>-296612.57999999996</v>
      </c>
    </row>
  </sheetData>
  <mergeCells count="1">
    <mergeCell ref="A1:N1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2022-03-22T06:43:05Z</cp:lastPrinted>
  <dcterms:created xsi:type="dcterms:W3CDTF">2011-06-06T03:25:48Z</dcterms:created>
  <dcterms:modified xsi:type="dcterms:W3CDTF">2022-03-22T06:43:43Z</dcterms:modified>
</cp:coreProperties>
</file>