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1" sheetId="1" r:id="rId1"/>
  </sheets>
  <calcPr calcId="144525" refMode="R1C1"/>
</workbook>
</file>

<file path=xl/calcChain.xml><?xml version="1.0" encoding="utf-8"?>
<calcChain xmlns="http://schemas.openxmlformats.org/spreadsheetml/2006/main">
  <c r="M37" i="1" l="1"/>
  <c r="L37" i="1" l="1"/>
  <c r="L35" i="1" l="1"/>
  <c r="K37" i="1" l="1"/>
  <c r="L29" i="1" l="1"/>
  <c r="K29" i="1"/>
  <c r="M27" i="1" l="1"/>
  <c r="M16" i="1"/>
  <c r="M26" i="1"/>
  <c r="M8" i="1"/>
  <c r="L28" i="1" l="1"/>
  <c r="M28" i="1"/>
  <c r="K28" i="1"/>
  <c r="L33" i="1" l="1"/>
  <c r="M33" i="1"/>
  <c r="K33" i="1"/>
  <c r="J33" i="1"/>
  <c r="C33" i="1"/>
  <c r="D33" i="1"/>
  <c r="E33" i="1"/>
  <c r="F33" i="1"/>
  <c r="G33" i="1"/>
  <c r="H33" i="1"/>
  <c r="I33" i="1"/>
  <c r="B33" i="1"/>
  <c r="L27" i="1" l="1"/>
  <c r="L19" i="1"/>
  <c r="L16" i="1"/>
  <c r="L26" i="1"/>
  <c r="L8" i="1"/>
  <c r="K27" i="1" l="1"/>
  <c r="K16" i="1"/>
  <c r="K26" i="1"/>
  <c r="K8" i="1"/>
  <c r="K25" i="1" l="1"/>
  <c r="L25" i="1"/>
  <c r="M25" i="1"/>
  <c r="K24" i="1"/>
  <c r="L24" i="1"/>
  <c r="M24" i="1"/>
  <c r="I37" i="1" l="1"/>
  <c r="J35" i="1" l="1"/>
  <c r="J29" i="1" l="1"/>
  <c r="I35" i="1" l="1"/>
  <c r="H35" i="1" l="1"/>
  <c r="J27" i="1" l="1"/>
  <c r="J16" i="1"/>
  <c r="J26" i="1"/>
  <c r="J8" i="1"/>
  <c r="I27" i="1" l="1"/>
  <c r="I16" i="1"/>
  <c r="I26" i="1"/>
  <c r="I8" i="1"/>
  <c r="H37" i="1" l="1"/>
  <c r="H27" i="1" l="1"/>
  <c r="H16" i="1"/>
  <c r="H26" i="1"/>
  <c r="H8" i="1"/>
  <c r="H25" i="1" l="1"/>
  <c r="I25" i="1"/>
  <c r="J25" i="1"/>
  <c r="G25" i="1"/>
  <c r="H24" i="1"/>
  <c r="I24" i="1"/>
  <c r="J24" i="1"/>
  <c r="F37" i="1" l="1"/>
  <c r="G35" i="1" l="1"/>
  <c r="F35" i="1" l="1"/>
  <c r="E35" i="1" l="1"/>
  <c r="E36" i="1" l="1"/>
  <c r="F29" i="1" l="1"/>
  <c r="E29" i="1"/>
  <c r="G27" i="1" l="1"/>
  <c r="G16" i="1"/>
  <c r="G26" i="1"/>
  <c r="G8" i="1"/>
  <c r="F27" i="1" l="1"/>
  <c r="F16" i="1"/>
  <c r="F26" i="1"/>
  <c r="F8" i="1"/>
  <c r="E27" i="1" l="1"/>
  <c r="E16" i="1"/>
  <c r="E26" i="1"/>
  <c r="E8" i="1"/>
  <c r="E37" i="1" l="1"/>
  <c r="E25" i="1" l="1"/>
  <c r="F25" i="1"/>
  <c r="E24" i="1"/>
  <c r="F24" i="1"/>
  <c r="G24" i="1"/>
  <c r="D35" i="1" l="1"/>
  <c r="C35" i="1" l="1"/>
  <c r="D27" i="1" l="1"/>
  <c r="D16" i="1"/>
  <c r="D26" i="1"/>
  <c r="D8" i="1"/>
  <c r="C37" i="1" l="1"/>
  <c r="B37" i="1" l="1"/>
  <c r="C27" i="1" l="1"/>
  <c r="C16" i="1"/>
  <c r="C26" i="1"/>
  <c r="C8" i="1"/>
  <c r="B27" i="1" l="1"/>
  <c r="B16" i="1"/>
  <c r="B26" i="1"/>
  <c r="B8" i="1"/>
  <c r="C25" i="1" l="1"/>
  <c r="D25" i="1"/>
  <c r="C24" i="1"/>
  <c r="D24" i="1"/>
  <c r="B25" i="1" l="1"/>
  <c r="B24" i="1"/>
  <c r="N31" i="1" l="1"/>
  <c r="N6" i="1" l="1"/>
  <c r="N5" i="1"/>
  <c r="L7" i="1" l="1"/>
  <c r="K7" i="1"/>
  <c r="N24" i="1"/>
  <c r="N25" i="1"/>
  <c r="N28" i="1"/>
  <c r="N29" i="1"/>
  <c r="N30" i="1"/>
  <c r="N32" i="1"/>
  <c r="N33" i="1"/>
  <c r="N34" i="1"/>
  <c r="N35" i="1"/>
  <c r="N36" i="1"/>
  <c r="N17" i="1"/>
  <c r="N18" i="1"/>
  <c r="N20" i="1"/>
  <c r="N21" i="1"/>
  <c r="N22" i="1"/>
  <c r="K15" i="1"/>
  <c r="M15" i="1"/>
  <c r="N9" i="1"/>
  <c r="N10" i="1"/>
  <c r="N11" i="1"/>
  <c r="N12" i="1"/>
  <c r="N13" i="1"/>
  <c r="N14" i="1"/>
  <c r="M7" i="1"/>
  <c r="M38" i="1" l="1"/>
  <c r="M39" i="1" s="1"/>
  <c r="K38" i="1"/>
  <c r="K39" i="1" s="1"/>
  <c r="L15" i="1"/>
  <c r="L38" i="1" l="1"/>
  <c r="L39" i="1" s="1"/>
  <c r="I7" i="1"/>
  <c r="I15" i="1"/>
  <c r="J15" i="1"/>
  <c r="H7" i="1"/>
  <c r="J7" i="1"/>
  <c r="J38" i="1" l="1"/>
  <c r="J39" i="1" s="1"/>
  <c r="I38" i="1"/>
  <c r="I39" i="1" s="1"/>
  <c r="H15" i="1"/>
  <c r="N37" i="1"/>
  <c r="G15" i="1"/>
  <c r="B7" i="1"/>
  <c r="D15" i="1"/>
  <c r="D38" i="1" s="1"/>
  <c r="D39" i="1" s="1"/>
  <c r="D7" i="1"/>
  <c r="C15" i="1"/>
  <c r="C7" i="1"/>
  <c r="B15" i="1"/>
  <c r="G38" i="1" l="1"/>
  <c r="G39" i="1" s="1"/>
  <c r="C38" i="1"/>
  <c r="C39" i="1" s="1"/>
  <c r="F15" i="1"/>
  <c r="E7" i="1"/>
  <c r="N8" i="1"/>
  <c r="N19" i="1"/>
  <c r="N27" i="1"/>
  <c r="N16" i="1"/>
  <c r="E15" i="1"/>
  <c r="H38" i="1"/>
  <c r="H39" i="1" s="1"/>
  <c r="G7" i="1"/>
  <c r="F7" i="1"/>
  <c r="B41" i="1"/>
  <c r="C6" i="1" s="1"/>
  <c r="C41" i="1" s="1"/>
  <c r="D6" i="1" s="1"/>
  <c r="D41" i="1" l="1"/>
  <c r="E6" i="1" s="1"/>
  <c r="E41" i="1" s="1"/>
  <c r="F6" i="1" s="1"/>
  <c r="F38" i="1"/>
  <c r="F39" i="1" s="1"/>
  <c r="N7" i="1"/>
  <c r="B38" i="1"/>
  <c r="B39" i="1" s="1"/>
  <c r="B40" i="1" s="1"/>
  <c r="C5" i="1" s="1"/>
  <c r="C40" i="1" s="1"/>
  <c r="N26" i="1"/>
  <c r="N15" i="1"/>
  <c r="E38" i="1"/>
  <c r="E39" i="1" s="1"/>
  <c r="N41" i="1" l="1"/>
  <c r="F41" i="1"/>
  <c r="G6" i="1" s="1"/>
  <c r="G41" i="1" s="1"/>
  <c r="D5" i="1"/>
  <c r="D40" i="1" s="1"/>
  <c r="N38" i="1"/>
  <c r="N39" i="1" s="1"/>
  <c r="N40" i="1" s="1"/>
  <c r="H6" i="1" l="1"/>
  <c r="E5" i="1"/>
  <c r="E40" i="1" s="1"/>
  <c r="F5" i="1" s="1"/>
  <c r="F40" i="1" s="1"/>
  <c r="H41" i="1" l="1"/>
  <c r="I6" i="1" s="1"/>
  <c r="G5" i="1"/>
  <c r="G40" i="1" s="1"/>
  <c r="I41" i="1" l="1"/>
  <c r="J6" i="1" s="1"/>
  <c r="J41" i="1" s="1"/>
  <c r="K6" i="1" s="1"/>
  <c r="H5" i="1"/>
  <c r="H40" i="1" s="1"/>
  <c r="K41" i="1" l="1"/>
  <c r="L6" i="1" s="1"/>
  <c r="I5" i="1"/>
  <c r="I40" i="1" s="1"/>
  <c r="L41" i="1" l="1"/>
  <c r="M6" i="1" s="1"/>
  <c r="M41" i="1" s="1"/>
  <c r="J5" i="1"/>
  <c r="J40" i="1" s="1"/>
  <c r="K5" i="1" l="1"/>
  <c r="K40" i="1" s="1"/>
  <c r="L5" i="1" l="1"/>
  <c r="L40" i="1" s="1"/>
  <c r="M5" i="1" l="1"/>
  <c r="M40" i="1" s="1"/>
</calcChain>
</file>

<file path=xl/sharedStrings.xml><?xml version="1.0" encoding="utf-8"?>
<sst xmlns="http://schemas.openxmlformats.org/spreadsheetml/2006/main" count="52" uniqueCount="43">
  <si>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</si>
  <si>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</si>
  <si>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</si>
  <si>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</si>
  <si>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</si>
  <si>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</si>
  <si>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</si>
  <si>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</si>
  <si>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</si>
  <si>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</si>
  <si>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</si>
  <si>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</si>
  <si>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</si>
  <si>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</si>
  <si>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</si>
  <si>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</si>
  <si>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</si>
  <si>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</si>
  <si>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</si>
  <si>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</si>
  <si>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</si>
  <si>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</si>
  <si>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</si>
  <si>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</si>
  <si>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</si>
  <si>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</si>
  <si>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Вознаграждение, координация с советом МКД</t>
  </si>
  <si>
    <t>Отведение сточных вод ОИ</t>
  </si>
  <si>
    <t>Содержание жилья и текущий ремонт,  ОПУ</t>
  </si>
  <si>
    <t>Январь 2021г.</t>
  </si>
  <si>
    <t>Февраль 2021г.</t>
  </si>
  <si>
    <t>Март 2021г.</t>
  </si>
  <si>
    <t>Апрель 2021г.</t>
  </si>
  <si>
    <t>Май 2021г.</t>
  </si>
  <si>
    <t>Июнь 2021г.</t>
  </si>
  <si>
    <t>Июль 2021г.</t>
  </si>
  <si>
    <t>Август 2021г.</t>
  </si>
  <si>
    <t>Сентябрь 2021г.</t>
  </si>
  <si>
    <t>Октябрь 2021г.</t>
  </si>
  <si>
    <t>Ноябрь 2021г.</t>
  </si>
  <si>
    <t>Декабрь 2021г.</t>
  </si>
  <si>
    <t>Всего:                       за  2021г.</t>
  </si>
  <si>
    <t xml:space="preserve">                 ОТЧЕТ по дому Разина, 72 за период 01.01.2021г. по 31.12.2021г.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</si>
</sst>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6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8" fillId="0" borderId="3" xfId="0" applyFont="1" applyBorder="1" applyAlignment="1">
      <alignment vertical="top" wrapText="1"/>
    </xf>
    <xf numFmtId="164" fontId="9" fillId="2" borderId="4" xfId="0" applyNumberFormat="1" applyFont="1" applyFill="1" applyBorder="1" applyAlignment="1">
      <alignment horizontal="left" vertical="top" wrapText="1"/>
    </xf>
    <xf numFmtId="164" fontId="9" fillId="3" borderId="4" xfId="0" applyNumberFormat="1" applyFont="1" applyFill="1" applyBorder="1" applyAlignment="1">
      <alignment horizontal="left" vertical="top" wrapText="1"/>
    </xf>
    <xf numFmtId="164" fontId="8" fillId="0" borderId="4" xfId="0" applyNumberFormat="1" applyFont="1" applyBorder="1" applyAlignment="1">
      <alignment horizontal="left" vertical="top" wrapText="1"/>
    </xf>
    <xf numFmtId="164" fontId="9" fillId="4" borderId="4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64" fontId="9" fillId="0" borderId="5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164" fontId="8" fillId="0" borderId="6" xfId="0" applyNumberFormat="1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zoomScale="75" workbookViewId="0">
      <selection activeCell="B2" sqref="B1:I1048576"/>
    </sheetView>
  </sheetViews>
  <sheetFormatPr defaultRowHeight="13.2" x14ac:dyDescent="0.25"/>
  <cols>
    <col min="1" max="1" width="58.6640625" customWidth="1"/>
    <col min="2" max="2" width="14.109375" customWidth="1"/>
    <col min="3" max="3" width="14" customWidth="1"/>
    <col min="4" max="13" width="14.33203125" customWidth="1"/>
    <col min="14" max="14" width="15.5546875" customWidth="1"/>
  </cols>
  <sheetData>
    <row r="1" spans="1:18" ht="20.25" customHeight="1" x14ac:dyDescent="0.4">
      <c r="A1" s="22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3" t="s">
        <v>0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</row>
    <row r="5" spans="1:18" ht="23.25" customHeight="1" thickBot="1" x14ac:dyDescent="0.3">
      <c r="A5" s="5" t="s">
        <v>16</v>
      </c>
      <c r="B5" s="12">
        <v>-250852.12</v>
      </c>
      <c r="C5" s="12">
        <f t="shared" ref="C5:E6" si="0">B40</f>
        <v>-244164.31286000001</v>
      </c>
      <c r="D5" s="12">
        <f t="shared" si="0"/>
        <v>-243339.26114000002</v>
      </c>
      <c r="E5" s="12">
        <f t="shared" si="0"/>
        <v>-228769.34060000003</v>
      </c>
      <c r="F5" s="12">
        <f t="shared" ref="F5:F6" si="1">E40</f>
        <v>-233962.27642000001</v>
      </c>
      <c r="G5" s="12">
        <f t="shared" ref="G5:G6" si="2">F40</f>
        <v>-399609.02324000001</v>
      </c>
      <c r="H5" s="12">
        <f t="shared" ref="H5:H6" si="3">G40</f>
        <v>-341234.31733000005</v>
      </c>
      <c r="I5" s="12">
        <f t="shared" ref="I5:I6" si="4">H40</f>
        <v>-326335.36515000009</v>
      </c>
      <c r="J5" s="12">
        <f t="shared" ref="J5:J6" si="5">I40</f>
        <v>-339309.4868800001</v>
      </c>
      <c r="K5" s="12">
        <f t="shared" ref="K5:K6" si="6">J40</f>
        <v>-321994.90675000008</v>
      </c>
      <c r="L5" s="12">
        <f t="shared" ref="L5:L6" si="7">K40</f>
        <v>-311867.96769000008</v>
      </c>
      <c r="M5" s="12">
        <f t="shared" ref="M5:M6" si="8">L40</f>
        <v>-282863.71670000005</v>
      </c>
      <c r="N5" s="12">
        <f>B5</f>
        <v>-250852.12</v>
      </c>
    </row>
    <row r="6" spans="1:18" ht="21" customHeight="1" thickBot="1" x14ac:dyDescent="0.3">
      <c r="A6" s="5" t="s">
        <v>13</v>
      </c>
      <c r="B6" s="12">
        <v>-312191.46999999997</v>
      </c>
      <c r="C6" s="12">
        <f t="shared" si="0"/>
        <v>-320015.62999999995</v>
      </c>
      <c r="D6" s="12">
        <f t="shared" si="0"/>
        <v>-324047.27999999997</v>
      </c>
      <c r="E6" s="12">
        <f t="shared" si="0"/>
        <v>-336447.55</v>
      </c>
      <c r="F6" s="12">
        <f t="shared" si="1"/>
        <v>-320495.37</v>
      </c>
      <c r="G6" s="12">
        <f t="shared" si="2"/>
        <v>-343572.76</v>
      </c>
      <c r="H6" s="12">
        <f t="shared" si="3"/>
        <v>-296217.57000000007</v>
      </c>
      <c r="I6" s="12">
        <f t="shared" si="4"/>
        <v>-297971.55000000005</v>
      </c>
      <c r="J6" s="12">
        <f t="shared" si="5"/>
        <v>-298103.63000000006</v>
      </c>
      <c r="K6" s="12">
        <f t="shared" si="6"/>
        <v>-280785.23000000004</v>
      </c>
      <c r="L6" s="12">
        <f t="shared" si="7"/>
        <v>-284304.83</v>
      </c>
      <c r="M6" s="12">
        <f t="shared" si="8"/>
        <v>-256330.79</v>
      </c>
      <c r="N6" s="12">
        <f>B6</f>
        <v>-312191.46999999997</v>
      </c>
    </row>
    <row r="7" spans="1:18" ht="20.25" customHeight="1" thickBot="1" x14ac:dyDescent="0.3">
      <c r="A7" s="6" t="s">
        <v>12</v>
      </c>
      <c r="B7" s="13">
        <f>SUM(B8:B14)</f>
        <v>64608.219999999994</v>
      </c>
      <c r="C7" s="13">
        <f>SUM(C8:C14)</f>
        <v>64964.259999999995</v>
      </c>
      <c r="D7" s="13">
        <f>SUM(D8:D14)</f>
        <v>74376.52</v>
      </c>
      <c r="E7" s="13">
        <f t="shared" ref="E7:M7" si="9">SUM(E8:E14)</f>
        <v>51047.139999999992</v>
      </c>
      <c r="F7" s="13">
        <f t="shared" si="9"/>
        <v>69954.84</v>
      </c>
      <c r="G7" s="13">
        <f t="shared" si="9"/>
        <v>67531.63</v>
      </c>
      <c r="H7" s="13">
        <f t="shared" si="9"/>
        <v>65682.739999999991</v>
      </c>
      <c r="I7" s="13">
        <f t="shared" si="9"/>
        <v>64437.21</v>
      </c>
      <c r="J7" s="13">
        <f t="shared" si="9"/>
        <v>73568.789999999994</v>
      </c>
      <c r="K7" s="13">
        <f t="shared" si="9"/>
        <v>85389.98</v>
      </c>
      <c r="L7" s="13">
        <f t="shared" si="9"/>
        <v>71369.76999999999</v>
      </c>
      <c r="M7" s="13">
        <f t="shared" si="9"/>
        <v>73402.599999999991</v>
      </c>
      <c r="N7" s="13">
        <f>SUM(B7:M7)</f>
        <v>826333.7</v>
      </c>
    </row>
    <row r="8" spans="1:18" ht="24.75" customHeight="1" thickBot="1" x14ac:dyDescent="0.3">
      <c r="A8" s="11" t="s">
        <v>28</v>
      </c>
      <c r="B8" s="14">
        <f t="shared" ref="B8:G8" si="10">55907.08+1181.17</f>
        <v>57088.25</v>
      </c>
      <c r="C8" s="14">
        <f t="shared" si="10"/>
        <v>57088.25</v>
      </c>
      <c r="D8" s="14">
        <f t="shared" si="10"/>
        <v>57088.25</v>
      </c>
      <c r="E8" s="14">
        <f t="shared" si="10"/>
        <v>57088.25</v>
      </c>
      <c r="F8" s="14">
        <f t="shared" si="10"/>
        <v>57088.25</v>
      </c>
      <c r="G8" s="14">
        <f t="shared" si="10"/>
        <v>57088.25</v>
      </c>
      <c r="H8" s="14">
        <f>55907.08+1181.17</f>
        <v>57088.25</v>
      </c>
      <c r="I8" s="14">
        <f>55907.08+1181.17</f>
        <v>57088.25</v>
      </c>
      <c r="J8" s="14">
        <f>55877.41+1180.54</f>
        <v>57057.950000000004</v>
      </c>
      <c r="K8" s="14">
        <f>62745.84+1180.54</f>
        <v>63926.38</v>
      </c>
      <c r="L8" s="14">
        <f>62745.84+1180.54</f>
        <v>63926.38</v>
      </c>
      <c r="M8" s="14">
        <f>62745.84+1180.54</f>
        <v>63926.38</v>
      </c>
      <c r="N8" s="14">
        <f>SUM(B8:M8)</f>
        <v>705543.09</v>
      </c>
    </row>
    <row r="9" spans="1:18" ht="24.75" customHeight="1" thickBot="1" x14ac:dyDescent="0.3">
      <c r="A9" s="11" t="s">
        <v>17</v>
      </c>
      <c r="B9" s="14">
        <v>0</v>
      </c>
      <c r="C9" s="14">
        <v>0</v>
      </c>
      <c r="D9" s="14">
        <v>0</v>
      </c>
      <c r="E9" s="14">
        <v>0</v>
      </c>
      <c r="F9" s="14">
        <v>3600.57</v>
      </c>
      <c r="G9" s="14">
        <v>4043.12</v>
      </c>
      <c r="H9" s="14">
        <v>0</v>
      </c>
      <c r="I9" s="14">
        <v>0</v>
      </c>
      <c r="J9" s="14">
        <v>0</v>
      </c>
      <c r="K9" s="14">
        <v>9398.73</v>
      </c>
      <c r="L9" s="14">
        <v>0</v>
      </c>
      <c r="M9" s="14">
        <v>250.91</v>
      </c>
      <c r="N9" s="14">
        <f t="shared" ref="N9:N14" si="11">SUM(B9:M9)</f>
        <v>17293.329999999998</v>
      </c>
    </row>
    <row r="10" spans="1:18" ht="21.75" customHeight="1" thickBot="1" x14ac:dyDescent="0.3">
      <c r="A10" s="11" t="s">
        <v>18</v>
      </c>
      <c r="B10" s="14">
        <v>250.6</v>
      </c>
      <c r="C10" s="14">
        <v>250.6</v>
      </c>
      <c r="D10" s="14">
        <v>250.6</v>
      </c>
      <c r="E10" s="14">
        <v>-12190.77</v>
      </c>
      <c r="F10" s="14">
        <v>250.6</v>
      </c>
      <c r="G10" s="14">
        <v>250.6</v>
      </c>
      <c r="H10" s="14">
        <v>250.6</v>
      </c>
      <c r="I10" s="14">
        <v>265.97000000000003</v>
      </c>
      <c r="J10" s="14">
        <v>265.92</v>
      </c>
      <c r="K10" s="14">
        <v>265.92</v>
      </c>
      <c r="L10" s="14">
        <v>265.92</v>
      </c>
      <c r="M10" s="14">
        <v>265.92</v>
      </c>
      <c r="N10" s="14">
        <f t="shared" si="11"/>
        <v>-9357.52</v>
      </c>
    </row>
    <row r="11" spans="1:18" ht="22.5" customHeight="1" thickBot="1" x14ac:dyDescent="0.3">
      <c r="A11" s="11" t="s">
        <v>19</v>
      </c>
      <c r="B11" s="14">
        <v>1119.71</v>
      </c>
      <c r="C11" s="14">
        <v>1475.75</v>
      </c>
      <c r="D11" s="14">
        <v>10888.01</v>
      </c>
      <c r="E11" s="14">
        <v>0</v>
      </c>
      <c r="F11" s="14">
        <v>2865.76</v>
      </c>
      <c r="G11" s="14">
        <v>0</v>
      </c>
      <c r="H11" s="14">
        <v>2187.89</v>
      </c>
      <c r="I11" s="14">
        <v>926.99</v>
      </c>
      <c r="J11" s="14">
        <v>10088.969999999999</v>
      </c>
      <c r="K11" s="14">
        <v>5643</v>
      </c>
      <c r="L11" s="14">
        <v>1021.52</v>
      </c>
      <c r="M11" s="14">
        <v>2803.44</v>
      </c>
      <c r="N11" s="14">
        <f t="shared" si="11"/>
        <v>39021.040000000001</v>
      </c>
    </row>
    <row r="12" spans="1:18" ht="22.5" customHeight="1" thickBot="1" x14ac:dyDescent="0.3">
      <c r="A12" s="11" t="s">
        <v>27</v>
      </c>
      <c r="B12" s="14">
        <v>358.46</v>
      </c>
      <c r="C12" s="14">
        <v>358.46</v>
      </c>
      <c r="D12" s="14">
        <v>358.46</v>
      </c>
      <c r="E12" s="14">
        <v>358.46</v>
      </c>
      <c r="F12" s="14">
        <v>358.46</v>
      </c>
      <c r="G12" s="14">
        <v>358.46</v>
      </c>
      <c r="H12" s="14">
        <v>364.8</v>
      </c>
      <c r="I12" s="14">
        <v>364.8</v>
      </c>
      <c r="J12" s="14">
        <v>364.75</v>
      </c>
      <c r="K12" s="14">
        <v>364.75</v>
      </c>
      <c r="L12" s="14">
        <v>364.75</v>
      </c>
      <c r="M12" s="14">
        <v>364.75</v>
      </c>
      <c r="N12" s="14">
        <f t="shared" si="11"/>
        <v>4339.3600000000006</v>
      </c>
    </row>
    <row r="13" spans="1:18" ht="22.5" customHeight="1" thickBot="1" x14ac:dyDescent="0.3">
      <c r="A13" s="11" t="s">
        <v>26</v>
      </c>
      <c r="B13" s="14">
        <v>5491.2</v>
      </c>
      <c r="C13" s="14">
        <v>5491.2</v>
      </c>
      <c r="D13" s="14">
        <v>5491.2</v>
      </c>
      <c r="E13" s="14">
        <v>5491.2</v>
      </c>
      <c r="F13" s="14">
        <v>5491.2</v>
      </c>
      <c r="G13" s="14">
        <v>5491.2</v>
      </c>
      <c r="H13" s="14">
        <v>5491.2</v>
      </c>
      <c r="I13" s="14">
        <v>5491.2</v>
      </c>
      <c r="J13" s="14">
        <v>5491.2</v>
      </c>
      <c r="K13" s="14">
        <v>5491.2</v>
      </c>
      <c r="L13" s="14">
        <v>5491.2</v>
      </c>
      <c r="M13" s="14">
        <v>5491.2</v>
      </c>
      <c r="N13" s="14">
        <f t="shared" si="11"/>
        <v>65894.39999999998</v>
      </c>
    </row>
    <row r="14" spans="1:18" ht="24" customHeight="1" thickBot="1" x14ac:dyDescent="0.3">
      <c r="A14" s="11" t="s">
        <v>15</v>
      </c>
      <c r="B14" s="14">
        <v>300</v>
      </c>
      <c r="C14" s="14">
        <v>300</v>
      </c>
      <c r="D14" s="14">
        <v>300</v>
      </c>
      <c r="E14" s="14">
        <v>300</v>
      </c>
      <c r="F14" s="14">
        <v>300</v>
      </c>
      <c r="G14" s="14">
        <v>300</v>
      </c>
      <c r="H14" s="14">
        <v>300</v>
      </c>
      <c r="I14" s="14">
        <v>300</v>
      </c>
      <c r="J14" s="14">
        <v>300</v>
      </c>
      <c r="K14" s="14">
        <v>300</v>
      </c>
      <c r="L14" s="14">
        <v>300</v>
      </c>
      <c r="M14" s="14">
        <v>300</v>
      </c>
      <c r="N14" s="14">
        <f t="shared" si="11"/>
        <v>3600</v>
      </c>
    </row>
    <row r="15" spans="1:18" ht="20.25" customHeight="1" thickBot="1" x14ac:dyDescent="0.3">
      <c r="A15" s="8" t="s">
        <v>8</v>
      </c>
      <c r="B15" s="15">
        <f>SUM(B16:B22)</f>
        <v>56784.06</v>
      </c>
      <c r="C15" s="15">
        <f>SUM(C16:C22)</f>
        <v>60932.61</v>
      </c>
      <c r="D15" s="15">
        <f>SUM(D16:D22)</f>
        <v>61976.25</v>
      </c>
      <c r="E15" s="15">
        <f t="shared" ref="E15:M15" si="12">SUM(E16:E22)</f>
        <v>66999.320000000007</v>
      </c>
      <c r="F15" s="15">
        <f t="shared" si="12"/>
        <v>46877.45</v>
      </c>
      <c r="G15" s="15">
        <f t="shared" si="12"/>
        <v>114886.81999999998</v>
      </c>
      <c r="H15" s="15">
        <f t="shared" si="12"/>
        <v>63928.76</v>
      </c>
      <c r="I15" s="15">
        <f t="shared" si="12"/>
        <v>64305.130000000005</v>
      </c>
      <c r="J15" s="15">
        <f t="shared" si="12"/>
        <v>90887.19</v>
      </c>
      <c r="K15" s="15">
        <f t="shared" si="12"/>
        <v>81870.37999999999</v>
      </c>
      <c r="L15" s="15">
        <f t="shared" si="12"/>
        <v>99343.810000000012</v>
      </c>
      <c r="M15" s="15">
        <f t="shared" si="12"/>
        <v>65327.330000000009</v>
      </c>
      <c r="N15" s="15">
        <f>SUM(B15:M15)</f>
        <v>874119.1100000001</v>
      </c>
    </row>
    <row r="16" spans="1:18" ht="24" customHeight="1" thickBot="1" x14ac:dyDescent="0.3">
      <c r="A16" s="11" t="s">
        <v>28</v>
      </c>
      <c r="B16" s="14">
        <f>49792.83+28.42+11.97+1032.85+3.7</f>
        <v>50869.77</v>
      </c>
      <c r="C16" s="14">
        <f>50846.08+1127.64</f>
        <v>51973.72</v>
      </c>
      <c r="D16" s="14">
        <f>51324.91+1023.39</f>
        <v>52348.3</v>
      </c>
      <c r="E16" s="14">
        <f>62154.77+28.69-2.29+12.08+1045.21+3.74</f>
        <v>63242.2</v>
      </c>
      <c r="F16" s="14">
        <f>40465.74+2+978.21</f>
        <v>41445.949999999997</v>
      </c>
      <c r="G16" s="14">
        <f>91488.31+95.76+1802.17</f>
        <v>93386.239999999991</v>
      </c>
      <c r="H16" s="14">
        <f>53177.93+1133.03</f>
        <v>54310.96</v>
      </c>
      <c r="I16" s="14">
        <f>55119.23+1154.79</f>
        <v>56274.020000000004</v>
      </c>
      <c r="J16" s="14">
        <f>83510.55+1007.57</f>
        <v>84518.12000000001</v>
      </c>
      <c r="K16" s="14">
        <f>65398.78+1424.71</f>
        <v>66823.490000000005</v>
      </c>
      <c r="L16" s="14">
        <f>76589.91+366.21+1245.15</f>
        <v>78201.27</v>
      </c>
      <c r="M16" s="14">
        <f>56988.86+37.76+1512.94</f>
        <v>58539.560000000005</v>
      </c>
      <c r="N16" s="14">
        <f>SUM(B16:M16)</f>
        <v>751933.60000000009</v>
      </c>
    </row>
    <row r="17" spans="1:15" ht="26.25" customHeight="1" thickBot="1" x14ac:dyDescent="0.3">
      <c r="A17" s="11" t="s">
        <v>17</v>
      </c>
      <c r="B17" s="14">
        <v>250.47</v>
      </c>
      <c r="C17" s="14">
        <v>90.92</v>
      </c>
      <c r="D17" s="14">
        <v>212.19</v>
      </c>
      <c r="E17" s="14">
        <v>205.08</v>
      </c>
      <c r="F17" s="14">
        <v>167.82</v>
      </c>
      <c r="G17" s="14">
        <v>3948.26</v>
      </c>
      <c r="H17" s="14">
        <v>3607.53</v>
      </c>
      <c r="I17" s="14">
        <v>353.34</v>
      </c>
      <c r="J17" s="14">
        <v>167.51</v>
      </c>
      <c r="K17" s="14">
        <v>510.12</v>
      </c>
      <c r="L17" s="14">
        <v>8648.5400000000009</v>
      </c>
      <c r="M17" s="14">
        <v>345.55</v>
      </c>
      <c r="N17" s="14">
        <f t="shared" ref="N17:N22" si="13">SUM(B17:M17)</f>
        <v>18507.330000000002</v>
      </c>
    </row>
    <row r="18" spans="1:15" ht="26.25" customHeight="1" thickBot="1" x14ac:dyDescent="0.3">
      <c r="A18" s="11" t="s">
        <v>18</v>
      </c>
      <c r="B18" s="14">
        <v>250.21</v>
      </c>
      <c r="C18" s="14">
        <v>243.29</v>
      </c>
      <c r="D18" s="14">
        <v>273.33999999999997</v>
      </c>
      <c r="E18" s="14">
        <v>-10691.62</v>
      </c>
      <c r="F18" s="14">
        <v>3.83</v>
      </c>
      <c r="G18" s="14">
        <v>119.79</v>
      </c>
      <c r="H18" s="14">
        <v>6.44</v>
      </c>
      <c r="I18" s="14">
        <v>18.71</v>
      </c>
      <c r="J18" s="14">
        <v>19.399999999999999</v>
      </c>
      <c r="K18" s="14">
        <v>94.59</v>
      </c>
      <c r="L18" s="14">
        <v>16.47</v>
      </c>
      <c r="M18" s="14">
        <v>20.63</v>
      </c>
      <c r="N18" s="14">
        <f t="shared" si="13"/>
        <v>-9624.9200000000019</v>
      </c>
    </row>
    <row r="19" spans="1:15" ht="24" customHeight="1" thickBot="1" x14ac:dyDescent="0.3">
      <c r="A19" s="11" t="s">
        <v>19</v>
      </c>
      <c r="B19" s="14">
        <v>224.2</v>
      </c>
      <c r="C19" s="14">
        <v>800.02</v>
      </c>
      <c r="D19" s="14">
        <v>1426.52</v>
      </c>
      <c r="E19" s="21">
        <v>8918.2199999999993</v>
      </c>
      <c r="F19" s="21">
        <v>373.73</v>
      </c>
      <c r="G19" s="21">
        <v>4237.28</v>
      </c>
      <c r="H19" s="14">
        <v>360.4</v>
      </c>
      <c r="I19" s="14">
        <v>2023.69</v>
      </c>
      <c r="J19" s="14">
        <v>1010.49</v>
      </c>
      <c r="K19" s="14">
        <v>9191.4699999999993</v>
      </c>
      <c r="L19" s="14">
        <f>6284.91+113.33</f>
        <v>6398.24</v>
      </c>
      <c r="M19" s="14">
        <v>1082.57</v>
      </c>
      <c r="N19" s="14">
        <f t="shared" si="13"/>
        <v>36046.829999999994</v>
      </c>
    </row>
    <row r="20" spans="1:15" ht="24" customHeight="1" thickBot="1" x14ac:dyDescent="0.3">
      <c r="A20" s="11" t="s">
        <v>27</v>
      </c>
      <c r="B20" s="14">
        <v>312.3</v>
      </c>
      <c r="C20" s="14">
        <v>318.37</v>
      </c>
      <c r="D20" s="14">
        <v>318.49</v>
      </c>
      <c r="E20" s="14">
        <v>393.73</v>
      </c>
      <c r="F20" s="14">
        <v>258.77999999999997</v>
      </c>
      <c r="G20" s="14">
        <v>592.86</v>
      </c>
      <c r="H20" s="14">
        <v>339.46</v>
      </c>
      <c r="I20" s="14">
        <v>344.69</v>
      </c>
      <c r="J20" s="14">
        <v>334.86</v>
      </c>
      <c r="K20" s="14">
        <v>414.51</v>
      </c>
      <c r="L20" s="14">
        <v>475.96</v>
      </c>
      <c r="M20" s="14">
        <v>328.44</v>
      </c>
      <c r="N20" s="14">
        <f t="shared" si="13"/>
        <v>4432.45</v>
      </c>
    </row>
    <row r="21" spans="1:15" ht="24" customHeight="1" thickBot="1" x14ac:dyDescent="0.3">
      <c r="A21" s="11" t="s">
        <v>26</v>
      </c>
      <c r="B21" s="14">
        <v>4777.1099999999997</v>
      </c>
      <c r="C21" s="14">
        <v>7406.29</v>
      </c>
      <c r="D21" s="14">
        <v>6097.41</v>
      </c>
      <c r="E21" s="14">
        <v>4831.71</v>
      </c>
      <c r="F21" s="14">
        <v>4527.34</v>
      </c>
      <c r="G21" s="14">
        <v>11302.39</v>
      </c>
      <c r="H21" s="14">
        <v>5203.97</v>
      </c>
      <c r="I21" s="14">
        <v>5190.68</v>
      </c>
      <c r="J21" s="14">
        <v>4736.8100000000004</v>
      </c>
      <c r="K21" s="14">
        <v>4736.2</v>
      </c>
      <c r="L21" s="14">
        <v>5503.33</v>
      </c>
      <c r="M21" s="14">
        <v>4910.58</v>
      </c>
      <c r="N21" s="14">
        <f t="shared" si="13"/>
        <v>69223.819999999992</v>
      </c>
    </row>
    <row r="22" spans="1:15" ht="21" customHeight="1" thickBot="1" x14ac:dyDescent="0.3">
      <c r="A22" s="11" t="s">
        <v>15</v>
      </c>
      <c r="B22" s="16">
        <v>100</v>
      </c>
      <c r="C22" s="16">
        <v>100</v>
      </c>
      <c r="D22" s="16">
        <v>1300</v>
      </c>
      <c r="E22" s="16">
        <v>100</v>
      </c>
      <c r="F22" s="16">
        <v>100</v>
      </c>
      <c r="G22" s="16">
        <v>1300</v>
      </c>
      <c r="H22" s="16">
        <v>100</v>
      </c>
      <c r="I22" s="16">
        <v>100</v>
      </c>
      <c r="J22" s="16">
        <v>100</v>
      </c>
      <c r="K22" s="16">
        <v>100</v>
      </c>
      <c r="L22" s="16">
        <v>100</v>
      </c>
      <c r="M22" s="16">
        <v>100</v>
      </c>
      <c r="N22" s="14">
        <f t="shared" si="13"/>
        <v>3600</v>
      </c>
      <c r="O22" s="10"/>
    </row>
    <row r="23" spans="1:15" ht="21.75" customHeight="1" thickBot="1" x14ac:dyDescent="0.3">
      <c r="A23" s="9" t="s">
        <v>24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/>
    </row>
    <row r="24" spans="1:15" ht="19.5" customHeight="1" thickBot="1" x14ac:dyDescent="0.3">
      <c r="A24" s="11" t="s">
        <v>1</v>
      </c>
      <c r="B24" s="14">
        <f t="shared" ref="B24:M24" si="14">3579.2*0.55</f>
        <v>1968.56</v>
      </c>
      <c r="C24" s="14">
        <f t="shared" si="14"/>
        <v>1968.56</v>
      </c>
      <c r="D24" s="14">
        <f t="shared" si="14"/>
        <v>1968.56</v>
      </c>
      <c r="E24" s="14">
        <f t="shared" si="14"/>
        <v>1968.56</v>
      </c>
      <c r="F24" s="14">
        <f t="shared" si="14"/>
        <v>1968.56</v>
      </c>
      <c r="G24" s="14">
        <f t="shared" si="14"/>
        <v>1968.56</v>
      </c>
      <c r="H24" s="14">
        <f t="shared" si="14"/>
        <v>1968.56</v>
      </c>
      <c r="I24" s="14">
        <f t="shared" si="14"/>
        <v>1968.56</v>
      </c>
      <c r="J24" s="14">
        <f t="shared" si="14"/>
        <v>1968.56</v>
      </c>
      <c r="K24" s="14">
        <f t="shared" si="14"/>
        <v>1968.56</v>
      </c>
      <c r="L24" s="14">
        <f t="shared" si="14"/>
        <v>1968.56</v>
      </c>
      <c r="M24" s="14">
        <f t="shared" si="14"/>
        <v>1968.56</v>
      </c>
      <c r="N24" s="14">
        <f t="shared" ref="N24:N37" si="15">SUM(B24:M24)</f>
        <v>23622.720000000001</v>
      </c>
    </row>
    <row r="25" spans="1:15" ht="22.5" customHeight="1" thickBot="1" x14ac:dyDescent="0.3">
      <c r="A25" s="11" t="s">
        <v>2</v>
      </c>
      <c r="B25" s="14">
        <f t="shared" ref="B25:F25" si="16">3579.2*0.17</f>
        <v>608.46400000000006</v>
      </c>
      <c r="C25" s="14">
        <f t="shared" si="16"/>
        <v>608.46400000000006</v>
      </c>
      <c r="D25" s="14">
        <f t="shared" si="16"/>
        <v>608.46400000000006</v>
      </c>
      <c r="E25" s="14">
        <f t="shared" si="16"/>
        <v>608.46400000000006</v>
      </c>
      <c r="F25" s="14">
        <f t="shared" si="16"/>
        <v>608.46400000000006</v>
      </c>
      <c r="G25" s="14">
        <f>3579.2*0.17</f>
        <v>608.46400000000006</v>
      </c>
      <c r="H25" s="14">
        <f t="shared" ref="H25:M25" si="17">3579.2*0.17</f>
        <v>608.46400000000006</v>
      </c>
      <c r="I25" s="14">
        <f t="shared" si="17"/>
        <v>608.46400000000006</v>
      </c>
      <c r="J25" s="14">
        <f t="shared" si="17"/>
        <v>608.46400000000006</v>
      </c>
      <c r="K25" s="14">
        <f t="shared" si="17"/>
        <v>608.46400000000006</v>
      </c>
      <c r="L25" s="14">
        <f t="shared" si="17"/>
        <v>608.46400000000006</v>
      </c>
      <c r="M25" s="14">
        <f t="shared" si="17"/>
        <v>608.46400000000006</v>
      </c>
      <c r="N25" s="14">
        <f t="shared" si="15"/>
        <v>7301.5680000000002</v>
      </c>
    </row>
    <row r="26" spans="1:15" ht="21" customHeight="1" thickBot="1" x14ac:dyDescent="0.3">
      <c r="A26" s="11" t="s">
        <v>3</v>
      </c>
      <c r="B26" s="14">
        <f>64308.22*2.3%</f>
        <v>1479.08906</v>
      </c>
      <c r="C26" s="14">
        <f>64664.26*2.3%</f>
        <v>1487.2779800000001</v>
      </c>
      <c r="D26" s="14">
        <f>74076.52*2.3%</f>
        <v>1703.7599600000001</v>
      </c>
      <c r="E26" s="14">
        <f>50747.14*2.3%</f>
        <v>1167.1842199999999</v>
      </c>
      <c r="F26" s="14">
        <f>69654.84*2.3%</f>
        <v>1602.0613199999998</v>
      </c>
      <c r="G26" s="14">
        <f>67231.63*2.3%</f>
        <v>1546.3274900000001</v>
      </c>
      <c r="H26" s="14">
        <f>65382.74*2.3%</f>
        <v>1503.8030199999998</v>
      </c>
      <c r="I26" s="14">
        <f>64137.21*2.3%</f>
        <v>1475.1558299999999</v>
      </c>
      <c r="J26" s="14">
        <f>73268.79*2.3%</f>
        <v>1685.1821699999998</v>
      </c>
      <c r="K26" s="14">
        <f>85089.98*2.3%</f>
        <v>1957.06954</v>
      </c>
      <c r="L26" s="14">
        <f>71069.77*2.3%</f>
        <v>1634.6047100000001</v>
      </c>
      <c r="M26" s="14">
        <f>73102.6*2.3%</f>
        <v>1681.3598000000002</v>
      </c>
      <c r="N26" s="14">
        <f t="shared" si="15"/>
        <v>18922.875099999997</v>
      </c>
    </row>
    <row r="27" spans="1:15" ht="23.25" customHeight="1" thickBot="1" x14ac:dyDescent="0.3">
      <c r="A27" s="11" t="s">
        <v>4</v>
      </c>
      <c r="B27" s="14">
        <f>56684.06*3%</f>
        <v>1700.5217999999998</v>
      </c>
      <c r="C27" s="14">
        <f>60832.61*3%</f>
        <v>1824.9783</v>
      </c>
      <c r="D27" s="14">
        <f>60676.25*3%</f>
        <v>1820.2874999999999</v>
      </c>
      <c r="E27" s="14">
        <f>66899.32*3%</f>
        <v>2006.9796000000001</v>
      </c>
      <c r="F27" s="14">
        <f>46777.45*3%</f>
        <v>1403.3235</v>
      </c>
      <c r="G27" s="14">
        <f>113586.82*3%</f>
        <v>3407.6046000000001</v>
      </c>
      <c r="H27" s="14">
        <f>63828.76*3%</f>
        <v>1914.8627999999999</v>
      </c>
      <c r="I27" s="14">
        <f>64205.13*3%</f>
        <v>1926.1538999999998</v>
      </c>
      <c r="J27" s="14">
        <f>90787.19*3%</f>
        <v>2723.6156999999998</v>
      </c>
      <c r="K27" s="14">
        <f>81770.38*3%</f>
        <v>2453.1114000000002</v>
      </c>
      <c r="L27" s="14">
        <f>99243.81*3%</f>
        <v>2977.3143</v>
      </c>
      <c r="M27" s="14">
        <f>65227.33*3%</f>
        <v>1956.8199</v>
      </c>
      <c r="N27" s="14">
        <f t="shared" si="15"/>
        <v>26115.5733</v>
      </c>
    </row>
    <row r="28" spans="1:15" ht="23.25" customHeight="1" thickBot="1" x14ac:dyDescent="0.3">
      <c r="A28" s="7" t="s">
        <v>9</v>
      </c>
      <c r="B28" s="14">
        <v>26486.080000000002</v>
      </c>
      <c r="C28" s="14">
        <v>26486.080000000002</v>
      </c>
      <c r="D28" s="14">
        <v>26486.080000000002</v>
      </c>
      <c r="E28" s="14">
        <v>26486.080000000002</v>
      </c>
      <c r="F28" s="14">
        <v>26486.080000000002</v>
      </c>
      <c r="G28" s="14">
        <v>26486.080000000002</v>
      </c>
      <c r="H28" s="14">
        <v>26486.080000000002</v>
      </c>
      <c r="I28" s="14">
        <v>26486.080000000002</v>
      </c>
      <c r="J28" s="14">
        <v>26486.080000000002</v>
      </c>
      <c r="K28" s="14">
        <f>3577.3*8.5</f>
        <v>30407.050000000003</v>
      </c>
      <c r="L28" s="14">
        <f t="shared" ref="L28:M28" si="18">3577.3*8.5</f>
        <v>30407.050000000003</v>
      </c>
      <c r="M28" s="14">
        <f t="shared" si="18"/>
        <v>30407.050000000003</v>
      </c>
      <c r="N28" s="14">
        <f t="shared" si="15"/>
        <v>329595.87000000005</v>
      </c>
    </row>
    <row r="29" spans="1:15" ht="26.25" customHeight="1" thickBot="1" x14ac:dyDescent="0.3">
      <c r="A29" s="11" t="s">
        <v>20</v>
      </c>
      <c r="B29" s="14">
        <v>0</v>
      </c>
      <c r="C29" s="14">
        <v>0</v>
      </c>
      <c r="D29" s="14">
        <v>0</v>
      </c>
      <c r="E29" s="14">
        <f>3169.7+430.93</f>
        <v>3600.6299999999997</v>
      </c>
      <c r="F29" s="14">
        <f>3559.31+483.77</f>
        <v>4043.08</v>
      </c>
      <c r="G29" s="14">
        <v>0</v>
      </c>
      <c r="H29" s="14">
        <v>0</v>
      </c>
      <c r="I29" s="14">
        <v>0</v>
      </c>
      <c r="J29" s="14">
        <f>8248.16+1150.51</f>
        <v>9398.67</v>
      </c>
      <c r="K29" s="14">
        <f>1.08+0</f>
        <v>1.08</v>
      </c>
      <c r="L29" s="14">
        <f>0+250.96</f>
        <v>250.96</v>
      </c>
      <c r="M29" s="14">
        <v>0</v>
      </c>
      <c r="N29" s="14">
        <f t="shared" si="15"/>
        <v>17294.419999999998</v>
      </c>
    </row>
    <row r="30" spans="1:15" ht="26.25" customHeight="1" thickBot="1" x14ac:dyDescent="0.3">
      <c r="A30" s="11" t="s">
        <v>21</v>
      </c>
      <c r="B30" s="14">
        <v>250.57</v>
      </c>
      <c r="C30" s="14">
        <v>250.57</v>
      </c>
      <c r="D30" s="14">
        <v>250.57</v>
      </c>
      <c r="E30" s="14">
        <v>250.57</v>
      </c>
      <c r="F30" s="14">
        <v>250.57</v>
      </c>
      <c r="G30" s="14">
        <v>250.57</v>
      </c>
      <c r="H30" s="14">
        <v>265.99</v>
      </c>
      <c r="I30" s="14">
        <v>265.99</v>
      </c>
      <c r="J30" s="14">
        <v>265.99</v>
      </c>
      <c r="K30" s="14">
        <v>265.99</v>
      </c>
      <c r="L30" s="14">
        <v>265.99</v>
      </c>
      <c r="M30" s="14">
        <v>265.99</v>
      </c>
      <c r="N30" s="14">
        <f t="shared" si="15"/>
        <v>3099.3599999999997</v>
      </c>
    </row>
    <row r="31" spans="1:15" ht="26.25" customHeight="1" thickBot="1" x14ac:dyDescent="0.3">
      <c r="A31" s="11" t="s">
        <v>22</v>
      </c>
      <c r="B31" s="14">
        <v>1475.76</v>
      </c>
      <c r="C31" s="14">
        <v>10888.02</v>
      </c>
      <c r="D31" s="14">
        <v>0</v>
      </c>
      <c r="E31" s="14">
        <v>2865.72</v>
      </c>
      <c r="F31" s="14">
        <v>0</v>
      </c>
      <c r="G31" s="14">
        <v>2187.9</v>
      </c>
      <c r="H31" s="14">
        <v>927</v>
      </c>
      <c r="I31" s="14">
        <v>10089</v>
      </c>
      <c r="J31" s="14">
        <v>5643</v>
      </c>
      <c r="K31" s="14">
        <v>1021.5</v>
      </c>
      <c r="L31" s="14">
        <v>2803.5</v>
      </c>
      <c r="M31" s="14">
        <v>3964.5</v>
      </c>
      <c r="N31" s="14">
        <f>SUM(B31:M31)</f>
        <v>41865.9</v>
      </c>
    </row>
    <row r="32" spans="1:15" ht="26.25" customHeight="1" thickBot="1" x14ac:dyDescent="0.3">
      <c r="A32" s="11" t="s">
        <v>27</v>
      </c>
      <c r="B32" s="14">
        <v>358.28</v>
      </c>
      <c r="C32" s="14">
        <v>358.28</v>
      </c>
      <c r="D32" s="14">
        <v>358.28</v>
      </c>
      <c r="E32" s="14">
        <v>358.28</v>
      </c>
      <c r="F32" s="14">
        <v>358.28</v>
      </c>
      <c r="G32" s="14">
        <v>358.28</v>
      </c>
      <c r="H32" s="14">
        <v>364.72</v>
      </c>
      <c r="I32" s="14">
        <v>364.72</v>
      </c>
      <c r="J32" s="14">
        <v>364.72</v>
      </c>
      <c r="K32" s="14">
        <v>364.72</v>
      </c>
      <c r="L32" s="14">
        <v>364.72</v>
      </c>
      <c r="M32" s="14">
        <v>364.72</v>
      </c>
      <c r="N32" s="14">
        <f t="shared" si="15"/>
        <v>4338.0000000000009</v>
      </c>
    </row>
    <row r="33" spans="1:14" ht="22.5" customHeight="1" thickBot="1" x14ac:dyDescent="0.3">
      <c r="A33" s="11" t="s">
        <v>6</v>
      </c>
      <c r="B33" s="14">
        <f>3579.2*2.34</f>
        <v>8375.3279999999995</v>
      </c>
      <c r="C33" s="14">
        <f t="shared" ref="C33:J33" si="19">3579.2*2.34</f>
        <v>8375.3279999999995</v>
      </c>
      <c r="D33" s="14">
        <f t="shared" si="19"/>
        <v>8375.3279999999995</v>
      </c>
      <c r="E33" s="14">
        <f t="shared" si="19"/>
        <v>8375.3279999999995</v>
      </c>
      <c r="F33" s="14">
        <f t="shared" si="19"/>
        <v>8375.3279999999995</v>
      </c>
      <c r="G33" s="14">
        <f t="shared" si="19"/>
        <v>8375.3279999999995</v>
      </c>
      <c r="H33" s="14">
        <f t="shared" si="19"/>
        <v>8375.3279999999995</v>
      </c>
      <c r="I33" s="14">
        <f t="shared" si="19"/>
        <v>8375.3279999999995</v>
      </c>
      <c r="J33" s="14">
        <f t="shared" si="19"/>
        <v>8375.3279999999995</v>
      </c>
      <c r="K33" s="14">
        <f>3579.2*2.63</f>
        <v>9413.2959999999985</v>
      </c>
      <c r="L33" s="14">
        <f t="shared" ref="L33:M33" si="20">3579.2*2.63</f>
        <v>9413.2959999999985</v>
      </c>
      <c r="M33" s="14">
        <f t="shared" si="20"/>
        <v>9413.2959999999985</v>
      </c>
      <c r="N33" s="14">
        <f t="shared" si="15"/>
        <v>103617.84</v>
      </c>
    </row>
    <row r="34" spans="1:14" ht="21.75" customHeight="1" thickBot="1" x14ac:dyDescent="0.3">
      <c r="A34" s="11" t="s">
        <v>26</v>
      </c>
      <c r="B34" s="14">
        <v>5130</v>
      </c>
      <c r="C34" s="14">
        <v>6645</v>
      </c>
      <c r="D34" s="14">
        <v>4695</v>
      </c>
      <c r="E34" s="14">
        <v>6020</v>
      </c>
      <c r="F34" s="14">
        <v>4350</v>
      </c>
      <c r="G34" s="14">
        <v>10183</v>
      </c>
      <c r="H34" s="14">
        <v>5380</v>
      </c>
      <c r="I34" s="14">
        <v>4855</v>
      </c>
      <c r="J34" s="14">
        <v>4290</v>
      </c>
      <c r="K34" s="14">
        <v>4810</v>
      </c>
      <c r="L34" s="14">
        <v>5145</v>
      </c>
      <c r="M34" s="14">
        <v>4260</v>
      </c>
      <c r="N34" s="14">
        <f t="shared" si="15"/>
        <v>65763</v>
      </c>
    </row>
    <row r="35" spans="1:14" ht="24.75" customHeight="1" thickBot="1" x14ac:dyDescent="0.3">
      <c r="A35" s="11" t="s">
        <v>25</v>
      </c>
      <c r="B35" s="14">
        <v>1140</v>
      </c>
      <c r="C35" s="14">
        <f>1140</f>
        <v>1140</v>
      </c>
      <c r="D35" s="14">
        <f>1140</f>
        <v>1140</v>
      </c>
      <c r="E35" s="14">
        <f>1140</f>
        <v>1140</v>
      </c>
      <c r="F35" s="14">
        <f>1140</f>
        <v>1140</v>
      </c>
      <c r="G35" s="14">
        <f>1140</f>
        <v>1140</v>
      </c>
      <c r="H35" s="14">
        <f>1140</f>
        <v>1140</v>
      </c>
      <c r="I35" s="14">
        <f>1140</f>
        <v>1140</v>
      </c>
      <c r="J35" s="14">
        <f>1140</f>
        <v>1140</v>
      </c>
      <c r="K35" s="14">
        <v>0</v>
      </c>
      <c r="L35" s="14">
        <f>1140</f>
        <v>1140</v>
      </c>
      <c r="M35" s="14">
        <v>1140</v>
      </c>
      <c r="N35" s="14">
        <f t="shared" si="15"/>
        <v>12540</v>
      </c>
    </row>
    <row r="36" spans="1:14" ht="24.75" customHeight="1" thickBot="1" x14ac:dyDescent="0.3">
      <c r="A36" s="11" t="s">
        <v>14</v>
      </c>
      <c r="B36" s="14">
        <v>0</v>
      </c>
      <c r="C36" s="14">
        <v>0</v>
      </c>
      <c r="D36" s="14">
        <v>0</v>
      </c>
      <c r="E36" s="14">
        <f>15425.86</f>
        <v>15425.86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f t="shared" si="15"/>
        <v>15425.86</v>
      </c>
    </row>
    <row r="37" spans="1:14" ht="24" customHeight="1" thickBot="1" x14ac:dyDescent="0.3">
      <c r="A37" s="11" t="s">
        <v>10</v>
      </c>
      <c r="B37" s="14">
        <f>405.2+718.4</f>
        <v>1123.5999999999999</v>
      </c>
      <c r="C37" s="14">
        <f>75</f>
        <v>75</v>
      </c>
      <c r="D37" s="14">
        <v>0</v>
      </c>
      <c r="E37" s="14">
        <f>1049.3+794.3+75</f>
        <v>1918.6</v>
      </c>
      <c r="F37" s="14">
        <f>923.8+2352.2+13662.45+145000</f>
        <v>161938.45000000001</v>
      </c>
      <c r="G37" s="14">
        <v>0</v>
      </c>
      <c r="H37" s="14">
        <f>95</f>
        <v>95</v>
      </c>
      <c r="I37" s="14">
        <f>13014+6710.8</f>
        <v>19724.8</v>
      </c>
      <c r="J37" s="14">
        <v>10623</v>
      </c>
      <c r="K37" s="14">
        <f>7250.2+1911.4+9311</f>
        <v>18472.599999999999</v>
      </c>
      <c r="L37" s="14">
        <f>2770+255+4932.7+1115.6+2287.8+272+1727</f>
        <v>13360.099999999999</v>
      </c>
      <c r="M37" s="14">
        <f>210</f>
        <v>210</v>
      </c>
      <c r="N37" s="14">
        <f t="shared" si="15"/>
        <v>227541.15000000002</v>
      </c>
    </row>
    <row r="38" spans="1:14" ht="22.5" customHeight="1" thickBot="1" x14ac:dyDescent="0.3">
      <c r="A38" s="6" t="s">
        <v>23</v>
      </c>
      <c r="B38" s="13">
        <f t="shared" ref="B38:M38" si="21">SUM(B24:B37)</f>
        <v>50096.252860000001</v>
      </c>
      <c r="C38" s="13">
        <f t="shared" si="21"/>
        <v>60107.558280000005</v>
      </c>
      <c r="D38" s="13">
        <f t="shared" si="21"/>
        <v>47406.329460000001</v>
      </c>
      <c r="E38" s="13">
        <f t="shared" si="21"/>
        <v>72192.255820000006</v>
      </c>
      <c r="F38" s="13">
        <f t="shared" si="21"/>
        <v>212524.19682000001</v>
      </c>
      <c r="G38" s="13">
        <f t="shared" si="21"/>
        <v>56512.114090000003</v>
      </c>
      <c r="H38" s="13">
        <f t="shared" si="21"/>
        <v>49029.807820000009</v>
      </c>
      <c r="I38" s="13">
        <f t="shared" si="21"/>
        <v>77279.251730000004</v>
      </c>
      <c r="J38" s="13">
        <f t="shared" si="21"/>
        <v>73572.60987</v>
      </c>
      <c r="K38" s="13">
        <f t="shared" si="21"/>
        <v>71743.44094</v>
      </c>
      <c r="L38" s="13">
        <f t="shared" si="21"/>
        <v>70339.559009999997</v>
      </c>
      <c r="M38" s="13">
        <f t="shared" si="21"/>
        <v>56240.759699999995</v>
      </c>
      <c r="N38" s="13">
        <f>SUM(B38:M38)</f>
        <v>897044.13639999996</v>
      </c>
    </row>
    <row r="39" spans="1:14" ht="23.25" customHeight="1" thickBot="1" x14ac:dyDescent="0.3">
      <c r="A39" s="7" t="s">
        <v>5</v>
      </c>
      <c r="B39" s="19">
        <f t="shared" ref="B39:N39" si="22">B15-B38</f>
        <v>6687.8071399999972</v>
      </c>
      <c r="C39" s="19">
        <f t="shared" si="22"/>
        <v>825.05171999999584</v>
      </c>
      <c r="D39" s="19">
        <f t="shared" si="22"/>
        <v>14569.920539999999</v>
      </c>
      <c r="E39" s="19">
        <f t="shared" si="22"/>
        <v>-5192.9358199999988</v>
      </c>
      <c r="F39" s="19">
        <f t="shared" si="22"/>
        <v>-165646.74682</v>
      </c>
      <c r="G39" s="19">
        <f t="shared" si="22"/>
        <v>58374.705909999975</v>
      </c>
      <c r="H39" s="19">
        <f t="shared" si="22"/>
        <v>14898.952179999993</v>
      </c>
      <c r="I39" s="19">
        <f t="shared" si="22"/>
        <v>-12974.121729999999</v>
      </c>
      <c r="J39" s="19">
        <f t="shared" si="22"/>
        <v>17314.580130000002</v>
      </c>
      <c r="K39" s="19">
        <f t="shared" si="22"/>
        <v>10126.93905999999</v>
      </c>
      <c r="L39" s="19">
        <f t="shared" si="22"/>
        <v>29004.250990000015</v>
      </c>
      <c r="M39" s="19">
        <f t="shared" si="22"/>
        <v>9086.570300000014</v>
      </c>
      <c r="N39" s="14">
        <f t="shared" si="22"/>
        <v>-22925.026399999857</v>
      </c>
    </row>
    <row r="40" spans="1:14" ht="23.25" customHeight="1" thickBot="1" x14ac:dyDescent="0.3">
      <c r="A40" s="7" t="s">
        <v>7</v>
      </c>
      <c r="B40" s="16">
        <f t="shared" ref="B40:N40" si="23">B5+B39</f>
        <v>-244164.31286000001</v>
      </c>
      <c r="C40" s="16">
        <f t="shared" si="23"/>
        <v>-243339.26114000002</v>
      </c>
      <c r="D40" s="16">
        <f t="shared" si="23"/>
        <v>-228769.34060000003</v>
      </c>
      <c r="E40" s="16">
        <f t="shared" si="23"/>
        <v>-233962.27642000001</v>
      </c>
      <c r="F40" s="16">
        <f t="shared" si="23"/>
        <v>-399609.02324000001</v>
      </c>
      <c r="G40" s="16">
        <f t="shared" si="23"/>
        <v>-341234.31733000005</v>
      </c>
      <c r="H40" s="16">
        <f t="shared" si="23"/>
        <v>-326335.36515000009</v>
      </c>
      <c r="I40" s="16">
        <f t="shared" si="23"/>
        <v>-339309.4868800001</v>
      </c>
      <c r="J40" s="16">
        <f t="shared" si="23"/>
        <v>-321994.90675000008</v>
      </c>
      <c r="K40" s="16">
        <f t="shared" si="23"/>
        <v>-311867.96769000008</v>
      </c>
      <c r="L40" s="16">
        <f t="shared" si="23"/>
        <v>-282863.71670000005</v>
      </c>
      <c r="M40" s="16">
        <f t="shared" si="23"/>
        <v>-273777.14640000003</v>
      </c>
      <c r="N40" s="16">
        <f t="shared" si="23"/>
        <v>-273777.14639999985</v>
      </c>
    </row>
    <row r="41" spans="1:14" ht="27" customHeight="1" thickBot="1" x14ac:dyDescent="0.3">
      <c r="A41" s="9" t="s">
        <v>11</v>
      </c>
      <c r="B41" s="20">
        <f>B6+B15-B7</f>
        <v>-320015.62999999995</v>
      </c>
      <c r="C41" s="20">
        <f>C6+C15-C7</f>
        <v>-324047.27999999997</v>
      </c>
      <c r="D41" s="20">
        <f>D6+D15-D7</f>
        <v>-336447.55</v>
      </c>
      <c r="E41" s="20">
        <f t="shared" ref="E41:N41" si="24">E6+E15-E7</f>
        <v>-320495.37</v>
      </c>
      <c r="F41" s="20">
        <f t="shared" si="24"/>
        <v>-343572.76</v>
      </c>
      <c r="G41" s="20">
        <f t="shared" si="24"/>
        <v>-296217.57000000007</v>
      </c>
      <c r="H41" s="20">
        <f t="shared" si="24"/>
        <v>-297971.55000000005</v>
      </c>
      <c r="I41" s="20">
        <f t="shared" si="24"/>
        <v>-298103.63000000006</v>
      </c>
      <c r="J41" s="20">
        <f t="shared" si="24"/>
        <v>-280785.23000000004</v>
      </c>
      <c r="K41" s="20">
        <f t="shared" si="24"/>
        <v>-284304.83</v>
      </c>
      <c r="L41" s="20">
        <f t="shared" si="24"/>
        <v>-256330.79</v>
      </c>
      <c r="M41" s="20">
        <f t="shared" si="24"/>
        <v>-264406.06</v>
      </c>
      <c r="N41" s="20">
        <f t="shared" si="24"/>
        <v>-264406.05999999982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2022-03-16T06:01:11Z</cp:lastPrinted>
  <dcterms:created xsi:type="dcterms:W3CDTF">2011-06-06T03:25:48Z</dcterms:created>
  <dcterms:modified xsi:type="dcterms:W3CDTF">2022-03-16T06:28:30Z</dcterms:modified>
</cp:coreProperties>
</file>