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L34" i="1" l="1"/>
  <c r="L25" i="1" l="1"/>
  <c r="K25" i="1"/>
  <c r="K34" i="1" l="1"/>
  <c r="M23" i="1" l="1"/>
  <c r="M13" i="1"/>
  <c r="M22" i="1"/>
  <c r="M6" i="1"/>
  <c r="J29" i="1" l="1"/>
  <c r="K29" i="1"/>
  <c r="L29" i="1"/>
  <c r="M29" i="1"/>
  <c r="I29" i="1"/>
  <c r="C29" i="1"/>
  <c r="D29" i="1"/>
  <c r="E29" i="1"/>
  <c r="F29" i="1"/>
  <c r="G29" i="1"/>
  <c r="H29" i="1"/>
  <c r="B29" i="1"/>
  <c r="L23" i="1" l="1"/>
  <c r="L13" i="1"/>
  <c r="L22" i="1"/>
  <c r="L6" i="1"/>
  <c r="K23" i="1" l="1"/>
  <c r="K13" i="1"/>
  <c r="K22" i="1"/>
  <c r="K6" i="1"/>
  <c r="K24" i="1" l="1"/>
  <c r="L24" i="1"/>
  <c r="M24" i="1"/>
  <c r="K21" i="1"/>
  <c r="L21" i="1"/>
  <c r="M21" i="1"/>
  <c r="K20" i="1"/>
  <c r="L20" i="1"/>
  <c r="M20" i="1"/>
  <c r="I34" i="1" l="1"/>
  <c r="J25" i="1" l="1"/>
  <c r="J24" i="1" l="1"/>
  <c r="I24" i="1"/>
  <c r="J23" i="1" l="1"/>
  <c r="J13" i="1"/>
  <c r="J22" i="1"/>
  <c r="J6" i="1"/>
  <c r="I23" i="1" l="1"/>
  <c r="I13" i="1"/>
  <c r="I22" i="1"/>
  <c r="I6" i="1"/>
  <c r="H23" i="1" l="1"/>
  <c r="H13" i="1"/>
  <c r="H22" i="1"/>
  <c r="H6" i="1"/>
  <c r="H21" i="1" l="1"/>
  <c r="I21" i="1"/>
  <c r="J21" i="1"/>
  <c r="H20" i="1"/>
  <c r="I20" i="1"/>
  <c r="J20" i="1"/>
  <c r="G25" i="1" l="1"/>
  <c r="F25" i="1"/>
  <c r="E25" i="1"/>
  <c r="F34" i="1" l="1"/>
  <c r="G23" i="1" l="1"/>
  <c r="G13" i="1"/>
  <c r="G22" i="1"/>
  <c r="G6" i="1"/>
  <c r="F23" i="1" l="1"/>
  <c r="F13" i="1"/>
  <c r="F22" i="1"/>
  <c r="F6" i="1"/>
  <c r="E23" i="1" l="1"/>
  <c r="E13" i="1"/>
  <c r="E22" i="1"/>
  <c r="E6" i="1"/>
  <c r="E34" i="1" l="1"/>
  <c r="E21" i="1" l="1"/>
  <c r="F21" i="1"/>
  <c r="G21" i="1"/>
  <c r="E20" i="1"/>
  <c r="F20" i="1"/>
  <c r="G20" i="1"/>
  <c r="D25" i="1" l="1"/>
  <c r="C25" i="1"/>
  <c r="B25" i="1"/>
  <c r="D34" i="1" l="1"/>
  <c r="D23" i="1" l="1"/>
  <c r="D13" i="1"/>
  <c r="D22" i="1"/>
  <c r="D6" i="1"/>
  <c r="B34" i="1" l="1"/>
  <c r="C23" i="1" l="1"/>
  <c r="C13" i="1"/>
  <c r="C22" i="1"/>
  <c r="C6" i="1"/>
  <c r="B23" i="1" l="1"/>
  <c r="B13" i="1"/>
  <c r="B22" i="1"/>
  <c r="B6" i="1"/>
  <c r="C21" i="1" l="1"/>
  <c r="D21" i="1"/>
  <c r="C20" i="1"/>
  <c r="D20" i="1"/>
  <c r="B21" i="1"/>
  <c r="B20" i="1"/>
  <c r="N30" i="1" l="1"/>
  <c r="B12" i="1" l="1"/>
  <c r="N4" i="1" l="1"/>
  <c r="N3" i="1"/>
  <c r="N29" i="1" l="1"/>
  <c r="N27" i="1"/>
  <c r="N26" i="1"/>
  <c r="M5" i="1" l="1"/>
  <c r="K5" i="1"/>
  <c r="N20" i="1"/>
  <c r="N21" i="1"/>
  <c r="N24" i="1"/>
  <c r="N25" i="1"/>
  <c r="N28" i="1"/>
  <c r="N31" i="1"/>
  <c r="N32" i="1"/>
  <c r="N33" i="1"/>
  <c r="N14" i="1"/>
  <c r="N15" i="1"/>
  <c r="N16" i="1"/>
  <c r="N17" i="1"/>
  <c r="N18" i="1"/>
  <c r="K12" i="1"/>
  <c r="L12" i="1"/>
  <c r="M12" i="1"/>
  <c r="N7" i="1"/>
  <c r="N8" i="1"/>
  <c r="N9" i="1"/>
  <c r="N10" i="1"/>
  <c r="N11" i="1"/>
  <c r="L5" i="1"/>
  <c r="M35" i="1" l="1"/>
  <c r="M36" i="1" s="1"/>
  <c r="L35" i="1"/>
  <c r="L36" i="1" s="1"/>
  <c r="K35" i="1"/>
  <c r="K36" i="1" s="1"/>
  <c r="I5" i="1" l="1"/>
  <c r="J12" i="1"/>
  <c r="J5" i="1" l="1"/>
  <c r="J35" i="1"/>
  <c r="J36" i="1" s="1"/>
  <c r="H12" i="1"/>
  <c r="I12" i="1"/>
  <c r="H5" i="1"/>
  <c r="H35" i="1" l="1"/>
  <c r="N13" i="1"/>
  <c r="I35" i="1"/>
  <c r="I36" i="1" s="1"/>
  <c r="N6" i="1"/>
  <c r="N34" i="1"/>
  <c r="N22" i="1"/>
  <c r="E12" i="1"/>
  <c r="G12" i="1"/>
  <c r="E5" i="1"/>
  <c r="F5" i="1"/>
  <c r="G5" i="1"/>
  <c r="G35" i="1" l="1"/>
  <c r="G36" i="1" s="1"/>
  <c r="E35" i="1"/>
  <c r="E36" i="1" s="1"/>
  <c r="N23" i="1"/>
  <c r="H36" i="1"/>
  <c r="D12" i="1"/>
  <c r="D5" i="1"/>
  <c r="C12" i="1"/>
  <c r="C5" i="1"/>
  <c r="B5" i="1"/>
  <c r="N5" i="1" l="1"/>
  <c r="B38" i="1"/>
  <c r="C4" i="1" s="1"/>
  <c r="D35" i="1"/>
  <c r="D36" i="1" s="1"/>
  <c r="C35" i="1"/>
  <c r="C36" i="1" s="1"/>
  <c r="C38" i="1" l="1"/>
  <c r="D4" i="1" s="1"/>
  <c r="D38" i="1" s="1"/>
  <c r="E4" i="1" s="1"/>
  <c r="B35" i="1"/>
  <c r="E38" i="1" l="1"/>
  <c r="F4" i="1" s="1"/>
  <c r="B36" i="1"/>
  <c r="F12" i="1"/>
  <c r="N12" i="1" l="1"/>
  <c r="F38" i="1"/>
  <c r="B37" i="1"/>
  <c r="C3" i="1" s="1"/>
  <c r="C37" i="1" l="1"/>
  <c r="D37" i="1" s="1"/>
  <c r="E3" i="1" s="1"/>
  <c r="G4" i="1"/>
  <c r="F35" i="1"/>
  <c r="N35" i="1" s="1"/>
  <c r="G38" i="1" l="1"/>
  <c r="H4" i="1" s="1"/>
  <c r="H38" i="1" s="1"/>
  <c r="I4" i="1" s="1"/>
  <c r="I38" i="1" s="1"/>
  <c r="D3" i="1"/>
  <c r="F36" i="1"/>
  <c r="N36" i="1" s="1"/>
  <c r="N37" i="1" s="1"/>
  <c r="E37" i="1"/>
  <c r="F3" i="1" s="1"/>
  <c r="J4" i="1" l="1"/>
  <c r="J38" i="1" s="1"/>
  <c r="K4" i="1" s="1"/>
  <c r="K38" i="1" s="1"/>
  <c r="L4" i="1" s="1"/>
  <c r="L38" i="1" s="1"/>
  <c r="M4" i="1" s="1"/>
  <c r="M38" i="1" s="1"/>
  <c r="F37" i="1"/>
  <c r="G3" i="1" l="1"/>
  <c r="G37" i="1"/>
  <c r="H3" i="1" s="1"/>
  <c r="H37" i="1" l="1"/>
  <c r="I3" i="1" s="1"/>
  <c r="I37" i="1" l="1"/>
  <c r="J37" i="1" l="1"/>
  <c r="J3" i="1"/>
  <c r="K37" i="1" l="1"/>
  <c r="L3" i="1" s="1"/>
  <c r="K3" i="1"/>
  <c r="L37" i="1" l="1"/>
  <c r="M3" i="1" s="1"/>
  <c r="N38" i="1"/>
  <c r="M37" i="1" l="1"/>
</calcChain>
</file>

<file path=xl/sharedStrings.xml><?xml version="1.0" encoding="utf-8"?>
<sst xmlns="http://schemas.openxmlformats.org/spreadsheetml/2006/main" count="51" uniqueCount="44">
  <si>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</si>
  <si>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</si>
  <si>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</si>
  <si>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</si>
  <si>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</si>
  <si>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</si>
  <si>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</si>
  <si>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</si>
  <si>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</si>
  <si>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</si>
  <si>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</si>
  <si>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</si>
  <si>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</si>
  <si>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</si>
  <si>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</si>
  <si>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</si>
  <si>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</si>
  <si>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</si>
  <si>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</si>
  <si>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</si>
  <si>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</si>
  <si>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</si>
  <si>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</si>
  <si>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</si>
  <si>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</si>
  <si>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ЕИРКЦ /за ведение счета по кап.ремонту/</t>
  </si>
  <si>
    <t>Вознаграждение, координация с советом МКД</t>
  </si>
  <si>
    <t>Отведение сточных вод ОИ</t>
  </si>
  <si>
    <t>Содержание жилья и текущий ремонт, ОПУ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</si>
  <si>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</si>
  <si>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</si>
  <si>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</si>
  <si>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</si>
  <si>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</si>
  <si>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</si>
  <si>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</si>
  <si>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</si>
  <si>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</si>
  <si>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</si>
  <si>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2021г.</t>
  </si>
  <si>
    <t>Ноябрь 2021г.</t>
  </si>
  <si>
    <t>Декабрь 2021г.</t>
  </si>
  <si>
    <t>Всего:                       за  2021г.</t>
  </si>
  <si>
    <t xml:space="preserve">   ОТЧЕТ по дому Мухачева, 133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</si>
</sst>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/>
    </xf>
    <xf numFmtId="164" fontId="6" fillId="0" borderId="4" xfId="0" applyNumberFormat="1" applyFont="1" applyFill="1" applyBorder="1" applyAlignment="1">
      <alignment horizontal="left" vertical="top" wrapText="1"/>
    </xf>
    <xf numFmtId="0" fontId="4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B25" zoomScale="75" workbookViewId="0">
      <selection activeCell="M35" sqref="M35"/>
    </sheetView>
  </sheetViews>
  <sheetFormatPr defaultRowHeight="13.2" x14ac:dyDescent="0.25"/>
  <cols>
    <col min="1" max="1" width="58.6640625" customWidth="1"/>
    <col min="2" max="2" width="14.88671875" customWidth="1"/>
    <col min="3" max="3" width="14.5546875" customWidth="1"/>
    <col min="4" max="5" width="14.33203125" customWidth="1"/>
    <col min="6" max="6" width="14.44140625" customWidth="1"/>
    <col min="7" max="7" width="13.5546875" customWidth="1"/>
    <col min="8" max="8" width="13.33203125" customWidth="1"/>
    <col min="9" max="11" width="13.5546875" customWidth="1"/>
    <col min="12" max="12" width="13.6640625" customWidth="1"/>
    <col min="13" max="13" width="13.33203125" customWidth="1"/>
    <col min="14" max="14" width="14.5546875" customWidth="1"/>
  </cols>
  <sheetData>
    <row r="1" spans="1:15" ht="20.25" customHeight="1" thickBot="1" x14ac:dyDescent="0.45">
      <c r="A1" s="28" t="s">
        <v>43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6"/>
      <c r="M1" s="26"/>
      <c r="N1" s="26"/>
      <c r="O1" s="27"/>
    </row>
    <row r="2" spans="1:15" ht="38.25" customHeight="1" thickBot="1" x14ac:dyDescent="0.3">
      <c r="A2" s="1" t="s">
        <v>0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</row>
    <row r="3" spans="1:15" ht="23.25" customHeight="1" thickBot="1" x14ac:dyDescent="0.3">
      <c r="A3" s="3" t="s">
        <v>15</v>
      </c>
      <c r="B3" s="13">
        <v>-267324</v>
      </c>
      <c r="C3" s="13">
        <f t="shared" ref="C3:D4" si="0">B37</f>
        <v>-208193.59737</v>
      </c>
      <c r="D3" s="13">
        <f t="shared" si="0"/>
        <v>-196722.94329999998</v>
      </c>
      <c r="E3" s="13">
        <f t="shared" ref="E3:E4" si="1">D37</f>
        <v>-183511.86429</v>
      </c>
      <c r="F3" s="13">
        <f t="shared" ref="F3:F4" si="2">E37</f>
        <v>-188753.99578</v>
      </c>
      <c r="G3" s="13">
        <f t="shared" ref="G3:G4" si="3">F37</f>
        <v>-185098.17158999998</v>
      </c>
      <c r="H3" s="13">
        <f t="shared" ref="H3:H4" si="4">G37</f>
        <v>-169882.62873999996</v>
      </c>
      <c r="I3" s="13">
        <f t="shared" ref="I3:I4" si="5">H37</f>
        <v>-161467.61048999996</v>
      </c>
      <c r="J3" s="13">
        <f t="shared" ref="J3:J4" si="6">I37</f>
        <v>-142978.10499999995</v>
      </c>
      <c r="K3" s="13">
        <f t="shared" ref="K3:K4" si="7">J37</f>
        <v>-151105.41791999998</v>
      </c>
      <c r="L3" s="13">
        <f t="shared" ref="L3:L4" si="8">K37</f>
        <v>-195657.35948999997</v>
      </c>
      <c r="M3" s="13">
        <f t="shared" ref="M3:M4" si="9">L37</f>
        <v>-174419.90732999996</v>
      </c>
      <c r="N3" s="13">
        <f>B3</f>
        <v>-267324</v>
      </c>
    </row>
    <row r="4" spans="1:15" ht="21" customHeight="1" thickBot="1" x14ac:dyDescent="0.3">
      <c r="A4" s="3" t="s">
        <v>13</v>
      </c>
      <c r="B4" s="13">
        <v>-268397.59999999998</v>
      </c>
      <c r="C4" s="13">
        <f t="shared" si="0"/>
        <v>-218971.13999999998</v>
      </c>
      <c r="D4" s="13">
        <f t="shared" si="0"/>
        <v>-225680.65999999997</v>
      </c>
      <c r="E4" s="13">
        <f t="shared" si="1"/>
        <v>-232675.42999999996</v>
      </c>
      <c r="F4" s="13">
        <f t="shared" si="2"/>
        <v>-225075.68999999994</v>
      </c>
      <c r="G4" s="13">
        <f t="shared" si="3"/>
        <v>-239847.41999999993</v>
      </c>
      <c r="H4" s="13">
        <f t="shared" si="4"/>
        <v>-233629.82999999996</v>
      </c>
      <c r="I4" s="13">
        <f t="shared" si="5"/>
        <v>-254901.90999999997</v>
      </c>
      <c r="J4" s="13">
        <f t="shared" si="6"/>
        <v>-260970.94999999995</v>
      </c>
      <c r="K4" s="13">
        <f t="shared" si="7"/>
        <v>-248921.25999999995</v>
      </c>
      <c r="L4" s="13">
        <f t="shared" si="8"/>
        <v>-260582.41999999993</v>
      </c>
      <c r="M4" s="13">
        <f t="shared" si="9"/>
        <v>-265546.73999999993</v>
      </c>
      <c r="N4" s="13">
        <f>B4</f>
        <v>-268397.59999999998</v>
      </c>
    </row>
    <row r="5" spans="1:15" ht="20.25" customHeight="1" thickBot="1" x14ac:dyDescent="0.3">
      <c r="A5" s="4" t="s">
        <v>12</v>
      </c>
      <c r="B5" s="14">
        <f>SUM(B6:B11)</f>
        <v>86873.69</v>
      </c>
      <c r="C5" s="14">
        <f>SUM(C6:C11)</f>
        <v>87021.01</v>
      </c>
      <c r="D5" s="14">
        <f>SUM(D6:D11)</f>
        <v>87856.53</v>
      </c>
      <c r="E5" s="14">
        <f t="shared" ref="E5:M5" si="10">SUM(E6:E11)</f>
        <v>82134.930000000008</v>
      </c>
      <c r="F5" s="14">
        <f t="shared" si="10"/>
        <v>88802.069999999992</v>
      </c>
      <c r="G5" s="14">
        <f t="shared" si="10"/>
        <v>85139.650000000009</v>
      </c>
      <c r="H5" s="14">
        <f t="shared" si="10"/>
        <v>95099.55</v>
      </c>
      <c r="I5" s="14">
        <f t="shared" si="10"/>
        <v>97918.069999999992</v>
      </c>
      <c r="J5" s="14">
        <f t="shared" si="10"/>
        <v>97135.739999999991</v>
      </c>
      <c r="K5" s="14">
        <f t="shared" si="10"/>
        <v>103971.29</v>
      </c>
      <c r="L5" s="14">
        <f t="shared" si="10"/>
        <v>102398.48</v>
      </c>
      <c r="M5" s="14">
        <f t="shared" si="10"/>
        <v>99287</v>
      </c>
      <c r="N5" s="14">
        <f>SUM(B5:M5)</f>
        <v>1113638.01</v>
      </c>
    </row>
    <row r="6" spans="1:15" ht="21" customHeight="1" thickBot="1" x14ac:dyDescent="0.3">
      <c r="A6" s="8" t="s">
        <v>28</v>
      </c>
      <c r="B6" s="15">
        <f t="shared" ref="B6:G6" si="11">69958.85+1010</f>
        <v>70968.850000000006</v>
      </c>
      <c r="C6" s="15">
        <f t="shared" si="11"/>
        <v>70968.850000000006</v>
      </c>
      <c r="D6" s="15">
        <f t="shared" si="11"/>
        <v>70968.850000000006</v>
      </c>
      <c r="E6" s="15">
        <f t="shared" si="11"/>
        <v>70968.850000000006</v>
      </c>
      <c r="F6" s="15">
        <f t="shared" si="11"/>
        <v>70968.850000000006</v>
      </c>
      <c r="G6" s="15">
        <f t="shared" si="11"/>
        <v>70968.850000000006</v>
      </c>
      <c r="H6" s="15">
        <f>69958.85+1010</f>
        <v>70968.850000000006</v>
      </c>
      <c r="I6" s="15">
        <f>83305.68+1010</f>
        <v>84315.68</v>
      </c>
      <c r="J6" s="15">
        <f>83305.68+1010</f>
        <v>84315.68</v>
      </c>
      <c r="K6" s="15">
        <f>83305.68+1010</f>
        <v>84315.68</v>
      </c>
      <c r="L6" s="15">
        <f>83305.68+1010</f>
        <v>84315.68</v>
      </c>
      <c r="M6" s="15">
        <f>83305.68+1010</f>
        <v>84315.68</v>
      </c>
      <c r="N6" s="15">
        <f>SUM(B6:M6)</f>
        <v>918360.34999999963</v>
      </c>
    </row>
    <row r="7" spans="1:15" ht="21.75" customHeight="1" thickBot="1" x14ac:dyDescent="0.3">
      <c r="A7" s="8" t="s">
        <v>16</v>
      </c>
      <c r="B7" s="15">
        <v>2382.83</v>
      </c>
      <c r="C7" s="15">
        <v>3190.04</v>
      </c>
      <c r="D7" s="15">
        <v>2634.39</v>
      </c>
      <c r="E7" s="15">
        <v>573.84</v>
      </c>
      <c r="F7" s="15">
        <v>4625.7</v>
      </c>
      <c r="G7" s="15">
        <v>1334.94</v>
      </c>
      <c r="H7" s="15">
        <v>11593.24</v>
      </c>
      <c r="I7" s="15">
        <v>0</v>
      </c>
      <c r="J7" s="15">
        <v>0</v>
      </c>
      <c r="K7" s="15">
        <v>6296.25</v>
      </c>
      <c r="L7" s="15">
        <v>5159.88</v>
      </c>
      <c r="M7" s="15">
        <v>1584.86</v>
      </c>
      <c r="N7" s="15">
        <f t="shared" ref="N7:N11" si="12">SUM(B7:M7)</f>
        <v>39375.97</v>
      </c>
    </row>
    <row r="8" spans="1:15" ht="18.75" customHeight="1" thickBot="1" x14ac:dyDescent="0.3">
      <c r="A8" s="8" t="s">
        <v>17</v>
      </c>
      <c r="B8" s="15">
        <v>473.3</v>
      </c>
      <c r="C8" s="15">
        <v>92.25</v>
      </c>
      <c r="D8" s="15">
        <v>595.39</v>
      </c>
      <c r="E8" s="15">
        <v>-2353.5100000000002</v>
      </c>
      <c r="F8" s="15">
        <v>0</v>
      </c>
      <c r="G8" s="15">
        <v>271.88</v>
      </c>
      <c r="H8" s="15">
        <v>102.92</v>
      </c>
      <c r="I8" s="15">
        <v>0</v>
      </c>
      <c r="J8" s="15">
        <v>171.64</v>
      </c>
      <c r="K8" s="15">
        <v>0</v>
      </c>
      <c r="L8" s="15">
        <v>0</v>
      </c>
      <c r="M8" s="15">
        <v>0</v>
      </c>
      <c r="N8" s="15">
        <f t="shared" si="12"/>
        <v>-646.13000000000022</v>
      </c>
    </row>
    <row r="9" spans="1:15" ht="18.75" customHeight="1" thickBot="1" x14ac:dyDescent="0.3">
      <c r="A9" s="8" t="s">
        <v>18</v>
      </c>
      <c r="B9" s="15">
        <v>2509.62</v>
      </c>
      <c r="C9" s="15">
        <v>2230.7800000000002</v>
      </c>
      <c r="D9" s="15">
        <v>3118.81</v>
      </c>
      <c r="E9" s="15">
        <v>2406.66</v>
      </c>
      <c r="F9" s="15">
        <v>2668.43</v>
      </c>
      <c r="G9" s="15">
        <v>2024.89</v>
      </c>
      <c r="H9" s="15">
        <v>1887.65</v>
      </c>
      <c r="I9" s="15">
        <v>3055.5</v>
      </c>
      <c r="J9" s="15">
        <v>2101.5300000000002</v>
      </c>
      <c r="K9" s="15">
        <v>2812.47</v>
      </c>
      <c r="L9" s="15">
        <v>2376.0300000000002</v>
      </c>
      <c r="M9" s="15">
        <v>2839.57</v>
      </c>
      <c r="N9" s="15">
        <f t="shared" si="12"/>
        <v>30031.94</v>
      </c>
    </row>
    <row r="10" spans="1:15" ht="18.75" customHeight="1" thickBot="1" x14ac:dyDescent="0.3">
      <c r="A10" s="8" t="s">
        <v>27</v>
      </c>
      <c r="B10" s="15">
        <v>439.09</v>
      </c>
      <c r="C10" s="15">
        <v>439.09</v>
      </c>
      <c r="D10" s="15">
        <v>439.09</v>
      </c>
      <c r="E10" s="15">
        <v>439.09</v>
      </c>
      <c r="F10" s="15">
        <v>439.09</v>
      </c>
      <c r="G10" s="15">
        <v>439.09</v>
      </c>
      <c r="H10" s="15">
        <v>446.89</v>
      </c>
      <c r="I10" s="15">
        <v>446.89</v>
      </c>
      <c r="J10" s="15">
        <v>446.89</v>
      </c>
      <c r="K10" s="15">
        <v>446.89</v>
      </c>
      <c r="L10" s="15">
        <v>446.89</v>
      </c>
      <c r="M10" s="15">
        <v>446.89</v>
      </c>
      <c r="N10" s="15">
        <f t="shared" si="12"/>
        <v>5315.88</v>
      </c>
    </row>
    <row r="11" spans="1:15" ht="20.25" customHeight="1" thickBot="1" x14ac:dyDescent="0.3">
      <c r="A11" s="8" t="s">
        <v>26</v>
      </c>
      <c r="B11" s="15">
        <v>10100</v>
      </c>
      <c r="C11" s="15">
        <v>10100</v>
      </c>
      <c r="D11" s="15">
        <v>10100</v>
      </c>
      <c r="E11" s="15">
        <v>10100</v>
      </c>
      <c r="F11" s="15">
        <v>10100</v>
      </c>
      <c r="G11" s="15">
        <v>10100</v>
      </c>
      <c r="H11" s="15">
        <v>10100</v>
      </c>
      <c r="I11" s="15">
        <v>10100</v>
      </c>
      <c r="J11" s="15">
        <v>10100</v>
      </c>
      <c r="K11" s="15">
        <v>10100</v>
      </c>
      <c r="L11" s="15">
        <v>10100</v>
      </c>
      <c r="M11" s="15">
        <v>10100</v>
      </c>
      <c r="N11" s="15">
        <f t="shared" si="12"/>
        <v>121200</v>
      </c>
    </row>
    <row r="12" spans="1:15" ht="20.25" customHeight="1" thickBot="1" x14ac:dyDescent="0.3">
      <c r="A12" s="6" t="s">
        <v>8</v>
      </c>
      <c r="B12" s="16">
        <f>SUM(B13:B18)</f>
        <v>136300.15</v>
      </c>
      <c r="C12" s="16">
        <f>SUM(C13:C18)</f>
        <v>80311.490000000005</v>
      </c>
      <c r="D12" s="16">
        <f>SUM(D13:D18)</f>
        <v>80861.759999999995</v>
      </c>
      <c r="E12" s="16">
        <f t="shared" ref="E12:M12" si="13">SUM(E13:E18)</f>
        <v>89734.670000000013</v>
      </c>
      <c r="F12" s="16">
        <f>SUM(F13:F18)</f>
        <v>74030.34</v>
      </c>
      <c r="G12" s="16">
        <f t="shared" si="13"/>
        <v>91357.24</v>
      </c>
      <c r="H12" s="16">
        <f t="shared" si="13"/>
        <v>73827.47</v>
      </c>
      <c r="I12" s="16">
        <f t="shared" si="13"/>
        <v>91849.030000000013</v>
      </c>
      <c r="J12" s="16">
        <f t="shared" si="13"/>
        <v>109185.43</v>
      </c>
      <c r="K12" s="16">
        <f t="shared" si="13"/>
        <v>92310.13</v>
      </c>
      <c r="L12" s="16">
        <f t="shared" si="13"/>
        <v>97434.16</v>
      </c>
      <c r="M12" s="16">
        <f t="shared" si="13"/>
        <v>100658.89</v>
      </c>
      <c r="N12" s="16">
        <f>SUM(B12:M12)</f>
        <v>1117860.76</v>
      </c>
    </row>
    <row r="13" spans="1:15" ht="21" customHeight="1" thickBot="1" x14ac:dyDescent="0.3">
      <c r="A13" s="8" t="s">
        <v>29</v>
      </c>
      <c r="B13" s="15">
        <f>103597.42+689.23+2132.95+400.76</f>
        <v>106820.35999999999</v>
      </c>
      <c r="C13" s="15">
        <f>64796.57+920.78</f>
        <v>65717.350000000006</v>
      </c>
      <c r="D13" s="15">
        <f>65193.44+937.13</f>
        <v>66130.570000000007</v>
      </c>
      <c r="E13" s="15">
        <f>73950.88+1009.2</f>
        <v>74960.08</v>
      </c>
      <c r="F13" s="15">
        <f>60406.12+1117.27</f>
        <v>61523.39</v>
      </c>
      <c r="G13" s="15">
        <f>72685.64+1025.71</f>
        <v>73711.350000000006</v>
      </c>
      <c r="H13" s="15">
        <f>61096.57+869.86</f>
        <v>61966.43</v>
      </c>
      <c r="I13" s="15">
        <f>67942.44+205.38+989+0.96</f>
        <v>69137.780000000013</v>
      </c>
      <c r="J13" s="15">
        <f>92930.39+937.92+4.98</f>
        <v>93873.29</v>
      </c>
      <c r="K13" s="15">
        <f>79382.42+951.5</f>
        <v>80333.919999999998</v>
      </c>
      <c r="L13" s="15">
        <f>77426.61+970.46-252.53-109.67</f>
        <v>78034.87000000001</v>
      </c>
      <c r="M13" s="15">
        <f>81365.21+1148.22</f>
        <v>82513.430000000008</v>
      </c>
      <c r="N13" s="15">
        <f>SUM(B13:M13)</f>
        <v>914722.82000000007</v>
      </c>
    </row>
    <row r="14" spans="1:15" ht="22.5" customHeight="1" thickBot="1" x14ac:dyDescent="0.3">
      <c r="A14" s="8" t="s">
        <v>16</v>
      </c>
      <c r="B14" s="15">
        <v>6732.3</v>
      </c>
      <c r="C14" s="15">
        <v>2308.16</v>
      </c>
      <c r="D14" s="15">
        <v>2960.28</v>
      </c>
      <c r="E14" s="15">
        <v>2756.49</v>
      </c>
      <c r="F14" s="15">
        <v>713.92</v>
      </c>
      <c r="G14" s="15">
        <v>4305.0600000000004</v>
      </c>
      <c r="H14" s="15">
        <v>1224.98</v>
      </c>
      <c r="I14" s="15">
        <v>10518.02</v>
      </c>
      <c r="J14" s="15">
        <v>1099</v>
      </c>
      <c r="K14" s="15">
        <v>83</v>
      </c>
      <c r="L14" s="15">
        <v>6360.04</v>
      </c>
      <c r="M14" s="15">
        <v>4178.2299999999996</v>
      </c>
      <c r="N14" s="15">
        <f t="shared" ref="N14:N18" si="14">SUM(B14:M14)</f>
        <v>43239.479999999996</v>
      </c>
    </row>
    <row r="15" spans="1:15" ht="21" customHeight="1" thickBot="1" x14ac:dyDescent="0.3">
      <c r="A15" s="8" t="s">
        <v>17</v>
      </c>
      <c r="B15" s="15">
        <v>273.42</v>
      </c>
      <c r="C15" s="15">
        <v>417.81</v>
      </c>
      <c r="D15" s="15">
        <v>102.61</v>
      </c>
      <c r="E15" s="15">
        <v>-1614.68</v>
      </c>
      <c r="F15" s="15">
        <v>14.26</v>
      </c>
      <c r="G15" s="15">
        <v>0</v>
      </c>
      <c r="H15" s="15">
        <v>0</v>
      </c>
      <c r="I15" s="15">
        <v>0</v>
      </c>
      <c r="J15" s="15">
        <v>177.22</v>
      </c>
      <c r="K15" s="15">
        <v>0</v>
      </c>
      <c r="L15" s="15">
        <v>11.36</v>
      </c>
      <c r="M15" s="15">
        <v>-8.8800000000000008</v>
      </c>
      <c r="N15" s="15">
        <f t="shared" si="14"/>
        <v>-626.88</v>
      </c>
    </row>
    <row r="16" spans="1:15" ht="21" customHeight="1" thickBot="1" x14ac:dyDescent="0.3">
      <c r="A16" s="9" t="s">
        <v>18</v>
      </c>
      <c r="B16" s="17">
        <v>4459.99</v>
      </c>
      <c r="C16" s="17">
        <v>2259.35</v>
      </c>
      <c r="D16" s="17">
        <v>2091.04</v>
      </c>
      <c r="E16" s="17">
        <v>3157.38</v>
      </c>
      <c r="F16" s="17">
        <v>2465.13</v>
      </c>
      <c r="G16" s="17">
        <v>2781.8</v>
      </c>
      <c r="H16" s="17">
        <v>1353.3</v>
      </c>
      <c r="I16" s="17">
        <v>1842.4</v>
      </c>
      <c r="J16" s="17">
        <v>4149.53</v>
      </c>
      <c r="K16" s="18">
        <v>1970.72</v>
      </c>
      <c r="L16" s="20">
        <v>1906.17</v>
      </c>
      <c r="M16" s="20">
        <v>3269.69</v>
      </c>
      <c r="N16" s="15">
        <f t="shared" si="14"/>
        <v>31706.500000000004</v>
      </c>
    </row>
    <row r="17" spans="1:14" ht="21" customHeight="1" thickBot="1" x14ac:dyDescent="0.3">
      <c r="A17" s="11" t="s">
        <v>27</v>
      </c>
      <c r="B17" s="18">
        <v>580.85</v>
      </c>
      <c r="C17" s="19">
        <v>406.65</v>
      </c>
      <c r="D17" s="18">
        <v>409.12</v>
      </c>
      <c r="E17" s="20">
        <v>476.48</v>
      </c>
      <c r="F17" s="20">
        <v>383.57</v>
      </c>
      <c r="G17" s="18">
        <v>464.7</v>
      </c>
      <c r="H17" s="18">
        <v>383.18</v>
      </c>
      <c r="I17" s="20">
        <v>430.96</v>
      </c>
      <c r="J17" s="18">
        <v>578.97</v>
      </c>
      <c r="K17" s="15">
        <v>411.85</v>
      </c>
      <c r="L17" s="15">
        <v>429.43</v>
      </c>
      <c r="M17" s="15">
        <v>439.79</v>
      </c>
      <c r="N17" s="15">
        <f t="shared" si="14"/>
        <v>5395.55</v>
      </c>
    </row>
    <row r="18" spans="1:14" ht="21" customHeight="1" thickBot="1" x14ac:dyDescent="0.3">
      <c r="A18" s="12" t="s">
        <v>26</v>
      </c>
      <c r="B18" s="18">
        <v>17433.23</v>
      </c>
      <c r="C18" s="18">
        <v>9202.17</v>
      </c>
      <c r="D18" s="18">
        <v>9168.14</v>
      </c>
      <c r="E18" s="18">
        <v>9998.92</v>
      </c>
      <c r="F18" s="18">
        <v>8930.07</v>
      </c>
      <c r="G18" s="18">
        <v>10094.33</v>
      </c>
      <c r="H18" s="15">
        <v>8899.58</v>
      </c>
      <c r="I18" s="15">
        <v>9919.8700000000008</v>
      </c>
      <c r="J18" s="24">
        <v>9307.42</v>
      </c>
      <c r="K18" s="15">
        <v>9510.64</v>
      </c>
      <c r="L18" s="15">
        <v>10692.29</v>
      </c>
      <c r="M18" s="15">
        <v>10266.629999999999</v>
      </c>
      <c r="N18" s="15">
        <f t="shared" si="14"/>
        <v>123423.29000000001</v>
      </c>
    </row>
    <row r="19" spans="1:14" ht="21.75" customHeight="1" thickBot="1" x14ac:dyDescent="0.3">
      <c r="A19" s="7" t="s">
        <v>23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1:14" ht="19.5" customHeight="1" thickBot="1" x14ac:dyDescent="0.3">
      <c r="A20" s="8" t="s">
        <v>1</v>
      </c>
      <c r="B20" s="15">
        <f t="shared" ref="B20:M20" si="15">4478.8*0.55</f>
        <v>2463.34</v>
      </c>
      <c r="C20" s="15">
        <f t="shared" si="15"/>
        <v>2463.34</v>
      </c>
      <c r="D20" s="15">
        <f t="shared" si="15"/>
        <v>2463.34</v>
      </c>
      <c r="E20" s="15">
        <f t="shared" si="15"/>
        <v>2463.34</v>
      </c>
      <c r="F20" s="15">
        <f t="shared" si="15"/>
        <v>2463.34</v>
      </c>
      <c r="G20" s="15">
        <f t="shared" si="15"/>
        <v>2463.34</v>
      </c>
      <c r="H20" s="15">
        <f t="shared" si="15"/>
        <v>2463.34</v>
      </c>
      <c r="I20" s="15">
        <f t="shared" si="15"/>
        <v>2463.34</v>
      </c>
      <c r="J20" s="15">
        <f t="shared" si="15"/>
        <v>2463.34</v>
      </c>
      <c r="K20" s="15">
        <f t="shared" si="15"/>
        <v>2463.34</v>
      </c>
      <c r="L20" s="15">
        <f t="shared" si="15"/>
        <v>2463.34</v>
      </c>
      <c r="M20" s="15">
        <f t="shared" si="15"/>
        <v>2463.34</v>
      </c>
      <c r="N20" s="15">
        <f t="shared" ref="N20:N33" si="16">SUM(B20:M20)</f>
        <v>29560.080000000002</v>
      </c>
    </row>
    <row r="21" spans="1:14" ht="22.5" customHeight="1" thickBot="1" x14ac:dyDescent="0.3">
      <c r="A21" s="8" t="s">
        <v>2</v>
      </c>
      <c r="B21" s="15">
        <f t="shared" ref="B21:M21" si="17">4478.8*0.17</f>
        <v>761.39600000000007</v>
      </c>
      <c r="C21" s="15">
        <f t="shared" si="17"/>
        <v>761.39600000000007</v>
      </c>
      <c r="D21" s="15">
        <f t="shared" si="17"/>
        <v>761.39600000000007</v>
      </c>
      <c r="E21" s="15">
        <f t="shared" si="17"/>
        <v>761.39600000000007</v>
      </c>
      <c r="F21" s="15">
        <f t="shared" si="17"/>
        <v>761.39600000000007</v>
      </c>
      <c r="G21" s="15">
        <f t="shared" si="17"/>
        <v>761.39600000000007</v>
      </c>
      <c r="H21" s="15">
        <f t="shared" si="17"/>
        <v>761.39600000000007</v>
      </c>
      <c r="I21" s="15">
        <f t="shared" si="17"/>
        <v>761.39600000000007</v>
      </c>
      <c r="J21" s="15">
        <f t="shared" si="17"/>
        <v>761.39600000000007</v>
      </c>
      <c r="K21" s="15">
        <f t="shared" si="17"/>
        <v>761.39600000000007</v>
      </c>
      <c r="L21" s="15">
        <f t="shared" si="17"/>
        <v>761.39600000000007</v>
      </c>
      <c r="M21" s="15">
        <f t="shared" si="17"/>
        <v>761.39600000000007</v>
      </c>
      <c r="N21" s="15">
        <f t="shared" si="16"/>
        <v>9136.7520000000004</v>
      </c>
    </row>
    <row r="22" spans="1:14" ht="21" customHeight="1" thickBot="1" x14ac:dyDescent="0.3">
      <c r="A22" s="8" t="s">
        <v>3</v>
      </c>
      <c r="B22" s="15">
        <f>86873.69*2.3%</f>
        <v>1998.0948700000001</v>
      </c>
      <c r="C22" s="15">
        <f>87021.01*2.3%</f>
        <v>2001.4832299999998</v>
      </c>
      <c r="D22" s="15">
        <f>87856.53*2.3%</f>
        <v>2020.70019</v>
      </c>
      <c r="E22" s="15">
        <f>82134.93*2.3%</f>
        <v>1889.1033899999998</v>
      </c>
      <c r="F22" s="15">
        <f>88802.07*2.3%</f>
        <v>2042.4476100000002</v>
      </c>
      <c r="G22" s="15">
        <f>85139.65*2.3%</f>
        <v>1958.2119499999999</v>
      </c>
      <c r="H22" s="15">
        <f>95099.55*2.3%</f>
        <v>2187.2896500000002</v>
      </c>
      <c r="I22" s="15">
        <f>97918.07*2.3%</f>
        <v>2252.1156100000003</v>
      </c>
      <c r="J22" s="15">
        <f>97135.74*2.3%</f>
        <v>2234.1220200000002</v>
      </c>
      <c r="K22" s="15">
        <f>103971.29*2.3%</f>
        <v>2391.3396699999998</v>
      </c>
      <c r="L22" s="15">
        <f>102398.48*2.3%</f>
        <v>2355.1650399999999</v>
      </c>
      <c r="M22" s="15">
        <f>99287*2.3%</f>
        <v>2283.6010000000001</v>
      </c>
      <c r="N22" s="15">
        <f t="shared" si="16"/>
        <v>25613.674230000004</v>
      </c>
    </row>
    <row r="23" spans="1:14" ht="23.25" customHeight="1" thickBot="1" x14ac:dyDescent="0.3">
      <c r="A23" s="8" t="s">
        <v>4</v>
      </c>
      <c r="B23" s="15">
        <f>136300.15*3%</f>
        <v>4089.0044999999996</v>
      </c>
      <c r="C23" s="15">
        <f>80311.49*3%</f>
        <v>2409.3447000000001</v>
      </c>
      <c r="D23" s="15">
        <f>80861.76*3%</f>
        <v>2425.8527999999997</v>
      </c>
      <c r="E23" s="15">
        <f>89734.67*3%</f>
        <v>2692.0400999999997</v>
      </c>
      <c r="F23" s="15">
        <f>74030.34*3%</f>
        <v>2220.9101999999998</v>
      </c>
      <c r="G23" s="15">
        <f>91357.24*3%</f>
        <v>2740.7172</v>
      </c>
      <c r="H23" s="15">
        <f>73827.47*3%</f>
        <v>2214.8240999999998</v>
      </c>
      <c r="I23" s="15">
        <f>91849.03*3%</f>
        <v>2755.4708999999998</v>
      </c>
      <c r="J23" s="15">
        <f>109185.43*3%</f>
        <v>3275.5628999999994</v>
      </c>
      <c r="K23" s="15">
        <f>92310.13*3%</f>
        <v>2769.3038999999999</v>
      </c>
      <c r="L23" s="15">
        <f>97434.16*3%</f>
        <v>2923.0248000000001</v>
      </c>
      <c r="M23" s="15">
        <f>100658.89*3%</f>
        <v>3019.7666999999997</v>
      </c>
      <c r="N23" s="15">
        <f t="shared" si="16"/>
        <v>33535.822799999994</v>
      </c>
    </row>
    <row r="24" spans="1:14" ht="23.25" customHeight="1" thickBot="1" x14ac:dyDescent="0.3">
      <c r="A24" s="5" t="s">
        <v>9</v>
      </c>
      <c r="B24" s="15">
        <v>33143.120000000003</v>
      </c>
      <c r="C24" s="15">
        <v>33143.120000000003</v>
      </c>
      <c r="D24" s="15">
        <v>33143.120000000003</v>
      </c>
      <c r="E24" s="15">
        <v>33143.120000000003</v>
      </c>
      <c r="F24" s="15">
        <v>33143.120000000003</v>
      </c>
      <c r="G24" s="15">
        <v>33143.120000000003</v>
      </c>
      <c r="H24" s="15">
        <v>33143.120000000003</v>
      </c>
      <c r="I24" s="15">
        <f>4478.8*8.5</f>
        <v>38069.800000000003</v>
      </c>
      <c r="J24" s="15">
        <f>4478.8*8.5</f>
        <v>38069.800000000003</v>
      </c>
      <c r="K24" s="15">
        <f t="shared" ref="K24:M24" si="18">4478.8*8.5</f>
        <v>38069.800000000003</v>
      </c>
      <c r="L24" s="15">
        <f t="shared" si="18"/>
        <v>38069.800000000003</v>
      </c>
      <c r="M24" s="15">
        <f t="shared" si="18"/>
        <v>38069.800000000003</v>
      </c>
      <c r="N24" s="15">
        <f t="shared" si="16"/>
        <v>422350.83999999997</v>
      </c>
    </row>
    <row r="25" spans="1:14" ht="26.25" customHeight="1" thickBot="1" x14ac:dyDescent="0.3">
      <c r="A25" s="8" t="s">
        <v>19</v>
      </c>
      <c r="B25" s="15">
        <f>2808.33+381.69</f>
        <v>3190.02</v>
      </c>
      <c r="C25" s="15">
        <f>2319.11+315.29</f>
        <v>2634.4</v>
      </c>
      <c r="D25" s="15">
        <f>505.16+68.58</f>
        <v>573.74</v>
      </c>
      <c r="E25" s="15">
        <f>4072.09+553.58</f>
        <v>4625.67</v>
      </c>
      <c r="F25" s="15">
        <f>1094.85+240.14</f>
        <v>1334.9899999999998</v>
      </c>
      <c r="G25" s="15">
        <f>9581.34+2011.89</f>
        <v>11593.23</v>
      </c>
      <c r="H25" s="15">
        <v>0</v>
      </c>
      <c r="I25" s="15">
        <v>0</v>
      </c>
      <c r="J25" s="15">
        <f>5525.42+770.86</f>
        <v>6296.28</v>
      </c>
      <c r="K25" s="15">
        <f>4528.25+631.6</f>
        <v>5159.8500000000004</v>
      </c>
      <c r="L25" s="15">
        <f>1395.53+189.31</f>
        <v>1584.84</v>
      </c>
      <c r="M25" s="15">
        <v>0</v>
      </c>
      <c r="N25" s="15">
        <f t="shared" si="16"/>
        <v>36993.019999999997</v>
      </c>
    </row>
    <row r="26" spans="1:14" ht="26.25" customHeight="1" thickBot="1" x14ac:dyDescent="0.3">
      <c r="A26" s="8" t="s">
        <v>20</v>
      </c>
      <c r="B26" s="15">
        <v>92.3</v>
      </c>
      <c r="C26" s="15">
        <v>595.5</v>
      </c>
      <c r="D26" s="15">
        <v>370.72</v>
      </c>
      <c r="E26" s="15">
        <v>0</v>
      </c>
      <c r="F26" s="15">
        <v>271.91000000000003</v>
      </c>
      <c r="G26" s="15">
        <v>102.96</v>
      </c>
      <c r="H26" s="15">
        <v>0</v>
      </c>
      <c r="I26" s="15">
        <v>171.66</v>
      </c>
      <c r="J26" s="15">
        <v>0</v>
      </c>
      <c r="K26" s="15">
        <v>0</v>
      </c>
      <c r="L26" s="15">
        <v>0</v>
      </c>
      <c r="M26" s="15">
        <v>0</v>
      </c>
      <c r="N26" s="15">
        <f>SUM(B26:M26)</f>
        <v>1605.0500000000002</v>
      </c>
    </row>
    <row r="27" spans="1:14" ht="26.25" customHeight="1" thickBot="1" x14ac:dyDescent="0.3">
      <c r="A27" s="8" t="s">
        <v>21</v>
      </c>
      <c r="B27" s="15">
        <v>2230.8000000000002</v>
      </c>
      <c r="C27" s="15">
        <v>3118.83</v>
      </c>
      <c r="D27" s="15">
        <v>2406.69</v>
      </c>
      <c r="E27" s="15">
        <v>2668.38</v>
      </c>
      <c r="F27" s="15">
        <v>2024.88</v>
      </c>
      <c r="G27" s="15">
        <v>1887.6</v>
      </c>
      <c r="H27" s="15">
        <v>3055.5</v>
      </c>
      <c r="I27" s="15">
        <v>2101.5</v>
      </c>
      <c r="J27" s="15">
        <v>2812.5</v>
      </c>
      <c r="K27" s="15">
        <v>2376</v>
      </c>
      <c r="L27" s="15">
        <v>2839.5</v>
      </c>
      <c r="M27" s="15">
        <v>2299.5</v>
      </c>
      <c r="N27" s="15">
        <f>SUM(B27:M27)</f>
        <v>29821.68</v>
      </c>
    </row>
    <row r="28" spans="1:14" ht="22.5" customHeight="1" thickBot="1" x14ac:dyDescent="0.3">
      <c r="A28" s="11" t="s">
        <v>27</v>
      </c>
      <c r="B28" s="18">
        <v>438.95</v>
      </c>
      <c r="C28" s="18">
        <v>438.95</v>
      </c>
      <c r="D28" s="18">
        <v>438.95</v>
      </c>
      <c r="E28" s="18">
        <v>438.95</v>
      </c>
      <c r="F28" s="18">
        <v>438.95</v>
      </c>
      <c r="G28" s="18">
        <v>438.95</v>
      </c>
      <c r="H28" s="18">
        <v>446.81</v>
      </c>
      <c r="I28" s="18">
        <v>446.81</v>
      </c>
      <c r="J28" s="18">
        <v>446.81</v>
      </c>
      <c r="K28" s="18">
        <v>446.81</v>
      </c>
      <c r="L28" s="18">
        <v>446.81</v>
      </c>
      <c r="M28" s="18">
        <v>446.81</v>
      </c>
      <c r="N28" s="15">
        <f t="shared" si="16"/>
        <v>5314.56</v>
      </c>
    </row>
    <row r="29" spans="1:14" ht="22.5" customHeight="1" thickBot="1" x14ac:dyDescent="0.3">
      <c r="A29" s="8" t="s">
        <v>6</v>
      </c>
      <c r="B29" s="15">
        <f>4478.8*2.34</f>
        <v>10480.392</v>
      </c>
      <c r="C29" s="15">
        <f t="shared" ref="C29:H29" si="19">4478.8*2.34</f>
        <v>10480.392</v>
      </c>
      <c r="D29" s="15">
        <f t="shared" si="19"/>
        <v>10480.392</v>
      </c>
      <c r="E29" s="15">
        <f t="shared" si="19"/>
        <v>10480.392</v>
      </c>
      <c r="F29" s="15">
        <f t="shared" si="19"/>
        <v>10480.392</v>
      </c>
      <c r="G29" s="15">
        <f t="shared" si="19"/>
        <v>10480.392</v>
      </c>
      <c r="H29" s="15">
        <f t="shared" si="19"/>
        <v>10480.392</v>
      </c>
      <c r="I29" s="15">
        <f>4478.8*2.79</f>
        <v>12495.852000000001</v>
      </c>
      <c r="J29" s="15">
        <f t="shared" ref="J29:M29" si="20">4478.8*2.79</f>
        <v>12495.852000000001</v>
      </c>
      <c r="K29" s="15">
        <f t="shared" si="20"/>
        <v>12495.852000000001</v>
      </c>
      <c r="L29" s="15">
        <f t="shared" si="20"/>
        <v>12495.852000000001</v>
      </c>
      <c r="M29" s="15">
        <f t="shared" si="20"/>
        <v>12495.852000000001</v>
      </c>
      <c r="N29" s="15">
        <f>SUM(B29:M29)</f>
        <v>135842.00400000002</v>
      </c>
    </row>
    <row r="30" spans="1:14" ht="22.5" customHeight="1" thickBot="1" x14ac:dyDescent="0.3">
      <c r="A30" s="8" t="s">
        <v>25</v>
      </c>
      <c r="B30" s="15">
        <v>589.92999999999995</v>
      </c>
      <c r="C30" s="15">
        <v>589.08000000000004</v>
      </c>
      <c r="D30" s="15">
        <v>589.78</v>
      </c>
      <c r="E30" s="15">
        <v>589.78</v>
      </c>
      <c r="F30" s="15">
        <v>589.78</v>
      </c>
      <c r="G30" s="15">
        <v>589.78</v>
      </c>
      <c r="H30" s="15">
        <v>589.78</v>
      </c>
      <c r="I30" s="15">
        <v>589.78</v>
      </c>
      <c r="J30" s="15">
        <v>589.78</v>
      </c>
      <c r="K30" s="15">
        <v>589.78</v>
      </c>
      <c r="L30" s="15">
        <v>589.78</v>
      </c>
      <c r="M30" s="15">
        <v>589.78</v>
      </c>
      <c r="N30" s="15">
        <f>SUM(B30:M30)</f>
        <v>7076.8099999999977</v>
      </c>
    </row>
    <row r="31" spans="1:14" ht="21.75" customHeight="1" thickBot="1" x14ac:dyDescent="0.3">
      <c r="A31" s="10" t="s">
        <v>26</v>
      </c>
      <c r="B31" s="15">
        <v>15815</v>
      </c>
      <c r="C31" s="15">
        <v>9125</v>
      </c>
      <c r="D31" s="15">
        <v>10315</v>
      </c>
      <c r="E31" s="15">
        <v>9185</v>
      </c>
      <c r="F31" s="15">
        <v>8740</v>
      </c>
      <c r="G31" s="15">
        <v>8902</v>
      </c>
      <c r="H31" s="15">
        <v>8990</v>
      </c>
      <c r="I31" s="15">
        <v>8735</v>
      </c>
      <c r="J31" s="15">
        <v>9380</v>
      </c>
      <c r="K31" s="15">
        <v>8820</v>
      </c>
      <c r="L31" s="15">
        <v>9150</v>
      </c>
      <c r="M31" s="15">
        <v>10980</v>
      </c>
      <c r="N31" s="15">
        <f t="shared" si="16"/>
        <v>118137</v>
      </c>
    </row>
    <row r="32" spans="1:14" ht="21.75" customHeight="1" thickBot="1" x14ac:dyDescent="0.3">
      <c r="A32" s="8" t="s">
        <v>24</v>
      </c>
      <c r="B32" s="25">
        <v>1080</v>
      </c>
      <c r="C32" s="25">
        <v>1080</v>
      </c>
      <c r="D32" s="25">
        <v>1080</v>
      </c>
      <c r="E32" s="25">
        <v>1080</v>
      </c>
      <c r="F32" s="25">
        <v>1080</v>
      </c>
      <c r="G32" s="25">
        <v>1080</v>
      </c>
      <c r="H32" s="25">
        <v>1080</v>
      </c>
      <c r="I32" s="25">
        <v>1080</v>
      </c>
      <c r="J32" s="25">
        <v>1080</v>
      </c>
      <c r="K32" s="25">
        <v>1080</v>
      </c>
      <c r="L32" s="25">
        <v>1080</v>
      </c>
      <c r="M32" s="25">
        <v>1080</v>
      </c>
      <c r="N32" s="15">
        <f t="shared" si="16"/>
        <v>12960</v>
      </c>
    </row>
    <row r="33" spans="1:14" ht="21" customHeight="1" thickBot="1" x14ac:dyDescent="0.3">
      <c r="A33" s="8" t="s">
        <v>14</v>
      </c>
      <c r="B33" s="15">
        <v>0</v>
      </c>
      <c r="C33" s="15">
        <v>0</v>
      </c>
      <c r="D33" s="15">
        <v>0</v>
      </c>
      <c r="E33" s="15">
        <v>19159.63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f t="shared" si="16"/>
        <v>19159.63</v>
      </c>
    </row>
    <row r="34" spans="1:14" ht="21.75" customHeight="1" thickBot="1" x14ac:dyDescent="0.3">
      <c r="A34" s="8" t="s">
        <v>10</v>
      </c>
      <c r="B34" s="15">
        <f>797.4</f>
        <v>797.4</v>
      </c>
      <c r="C34" s="15">
        <v>0</v>
      </c>
      <c r="D34" s="15">
        <f>581</f>
        <v>581</v>
      </c>
      <c r="E34" s="15">
        <f>5800</f>
        <v>5800</v>
      </c>
      <c r="F34" s="15">
        <f>674.5+4107.9</f>
        <v>4782.3999999999996</v>
      </c>
      <c r="G34" s="15">
        <v>0</v>
      </c>
      <c r="H34" s="15">
        <v>0</v>
      </c>
      <c r="I34" s="15">
        <f>1436.8</f>
        <v>1436.8</v>
      </c>
      <c r="J34" s="15">
        <v>37407.300000000003</v>
      </c>
      <c r="K34" s="15">
        <f>1190+4738.6+53510</f>
        <v>59438.6</v>
      </c>
      <c r="L34" s="15">
        <f>1437.2</f>
        <v>1437.2</v>
      </c>
      <c r="M34" s="15">
        <v>0</v>
      </c>
      <c r="N34" s="15">
        <f>SUM(B34:M34)</f>
        <v>111680.7</v>
      </c>
    </row>
    <row r="35" spans="1:14" ht="22.5" customHeight="1" thickBot="1" x14ac:dyDescent="0.3">
      <c r="A35" s="4" t="s">
        <v>22</v>
      </c>
      <c r="B35" s="14">
        <f t="shared" ref="B35:M35" si="21">SUM(B20:B34)</f>
        <v>77169.747369999997</v>
      </c>
      <c r="C35" s="14">
        <f t="shared" si="21"/>
        <v>68840.835930000001</v>
      </c>
      <c r="D35" s="14">
        <f t="shared" si="21"/>
        <v>67650.680989999993</v>
      </c>
      <c r="E35" s="14">
        <f t="shared" si="21"/>
        <v>94976.801489999998</v>
      </c>
      <c r="F35" s="14">
        <f t="shared" si="21"/>
        <v>70374.515809999983</v>
      </c>
      <c r="G35" s="14">
        <f t="shared" si="21"/>
        <v>76141.697149999993</v>
      </c>
      <c r="H35" s="14">
        <f t="shared" si="21"/>
        <v>65412.45175</v>
      </c>
      <c r="I35" s="14">
        <f t="shared" si="21"/>
        <v>73359.524510000003</v>
      </c>
      <c r="J35" s="14">
        <f t="shared" si="21"/>
        <v>117312.74292</v>
      </c>
      <c r="K35" s="14">
        <f t="shared" si="21"/>
        <v>136862.07157</v>
      </c>
      <c r="L35" s="14">
        <f t="shared" si="21"/>
        <v>76196.707839999988</v>
      </c>
      <c r="M35" s="14">
        <f t="shared" si="21"/>
        <v>74489.845700000005</v>
      </c>
      <c r="N35" s="14">
        <f>SUM(B35:M35)</f>
        <v>998787.6230299999</v>
      </c>
    </row>
    <row r="36" spans="1:14" ht="23.25" customHeight="1" thickBot="1" x14ac:dyDescent="0.3">
      <c r="A36" s="5" t="s">
        <v>5</v>
      </c>
      <c r="B36" s="17">
        <f t="shared" ref="B36:M36" si="22">B12-B35</f>
        <v>59130.402629999997</v>
      </c>
      <c r="C36" s="17">
        <f t="shared" si="22"/>
        <v>11470.654070000004</v>
      </c>
      <c r="D36" s="17">
        <f t="shared" si="22"/>
        <v>13211.079010000001</v>
      </c>
      <c r="E36" s="17">
        <f t="shared" si="22"/>
        <v>-5242.1314899999852</v>
      </c>
      <c r="F36" s="17">
        <f t="shared" si="22"/>
        <v>3655.8241900000139</v>
      </c>
      <c r="G36" s="17">
        <f t="shared" si="22"/>
        <v>15215.542850000013</v>
      </c>
      <c r="H36" s="17">
        <f t="shared" si="22"/>
        <v>8415.018250000001</v>
      </c>
      <c r="I36" s="17">
        <f t="shared" si="22"/>
        <v>18489.50549000001</v>
      </c>
      <c r="J36" s="17">
        <f t="shared" si="22"/>
        <v>-8127.3129200000112</v>
      </c>
      <c r="K36" s="17">
        <f t="shared" si="22"/>
        <v>-44551.941569999995</v>
      </c>
      <c r="L36" s="17">
        <f t="shared" si="22"/>
        <v>21237.452160000015</v>
      </c>
      <c r="M36" s="17">
        <f t="shared" si="22"/>
        <v>26169.044299999994</v>
      </c>
      <c r="N36" s="15">
        <f>SUM(B36:M36)</f>
        <v>119073.13697000005</v>
      </c>
    </row>
    <row r="37" spans="1:14" ht="23.25" customHeight="1" thickBot="1" x14ac:dyDescent="0.3">
      <c r="A37" s="5" t="s">
        <v>7</v>
      </c>
      <c r="B37" s="18">
        <f>B3+B36</f>
        <v>-208193.59737</v>
      </c>
      <c r="C37" s="20">
        <f>B37+C36</f>
        <v>-196722.94329999998</v>
      </c>
      <c r="D37" s="20">
        <f>C37+D36</f>
        <v>-183511.86429</v>
      </c>
      <c r="E37" s="20">
        <f t="shared" ref="E37:G37" si="23">D37+E36</f>
        <v>-188753.99578</v>
      </c>
      <c r="F37" s="20">
        <f t="shared" si="23"/>
        <v>-185098.17158999998</v>
      </c>
      <c r="G37" s="20">
        <f t="shared" si="23"/>
        <v>-169882.62873999996</v>
      </c>
      <c r="H37" s="20">
        <f t="shared" ref="H37" si="24">G37+H36</f>
        <v>-161467.61048999996</v>
      </c>
      <c r="I37" s="20">
        <f t="shared" ref="I37" si="25">H37+I36</f>
        <v>-142978.10499999995</v>
      </c>
      <c r="J37" s="20">
        <f t="shared" ref="J37" si="26">I37+J36</f>
        <v>-151105.41791999998</v>
      </c>
      <c r="K37" s="20">
        <f t="shared" ref="K37" si="27">J37+K36</f>
        <v>-195657.35948999997</v>
      </c>
      <c r="L37" s="20">
        <f t="shared" ref="L37" si="28">K37+L36</f>
        <v>-174419.90732999996</v>
      </c>
      <c r="M37" s="20">
        <f t="shared" ref="M37" si="29">L37+M36</f>
        <v>-148250.86302999995</v>
      </c>
      <c r="N37" s="17">
        <f>N3+N36</f>
        <v>-148250.86302999995</v>
      </c>
    </row>
    <row r="38" spans="1:14" ht="27" customHeight="1" thickBot="1" x14ac:dyDescent="0.3">
      <c r="A38" s="7" t="s">
        <v>11</v>
      </c>
      <c r="B38" s="22">
        <f>B4+B12-B5</f>
        <v>-218971.13999999998</v>
      </c>
      <c r="C38" s="22">
        <f t="shared" ref="C38:N38" si="30">C4+C12-C5</f>
        <v>-225680.65999999997</v>
      </c>
      <c r="D38" s="22">
        <f t="shared" si="30"/>
        <v>-232675.42999999996</v>
      </c>
      <c r="E38" s="22">
        <f t="shared" si="30"/>
        <v>-225075.68999999994</v>
      </c>
      <c r="F38" s="22">
        <f t="shared" si="30"/>
        <v>-239847.41999999993</v>
      </c>
      <c r="G38" s="22">
        <f t="shared" si="30"/>
        <v>-233629.82999999996</v>
      </c>
      <c r="H38" s="22">
        <f t="shared" si="30"/>
        <v>-254901.90999999997</v>
      </c>
      <c r="I38" s="22">
        <f t="shared" si="30"/>
        <v>-260970.94999999995</v>
      </c>
      <c r="J38" s="22">
        <f t="shared" si="30"/>
        <v>-248921.25999999995</v>
      </c>
      <c r="K38" s="22">
        <f t="shared" si="30"/>
        <v>-260582.41999999993</v>
      </c>
      <c r="L38" s="22">
        <f t="shared" si="30"/>
        <v>-265546.73999999993</v>
      </c>
      <c r="M38" s="22">
        <f t="shared" si="30"/>
        <v>-264174.84999999992</v>
      </c>
      <c r="N38" s="23">
        <f t="shared" si="30"/>
        <v>-264174.84999999998</v>
      </c>
    </row>
    <row r="39" spans="1:14" ht="21" customHeight="1" x14ac:dyDescent="0.25"/>
    <row r="40" spans="1:14" ht="17.399999999999999" customHeight="1" x14ac:dyDescent="0.25"/>
  </sheetData>
  <mergeCells count="1">
    <mergeCell ref="A1:K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2022-03-22T04:02:58Z</cp:lastPrinted>
  <dcterms:created xsi:type="dcterms:W3CDTF">2011-06-06T03:25:48Z</dcterms:created>
  <dcterms:modified xsi:type="dcterms:W3CDTF">2022-03-22T04:09:58Z</dcterms:modified>
</cp:coreProperties>
</file>