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N23" i="1" l="1"/>
  <c r="M22" i="1"/>
  <c r="M20" i="1"/>
  <c r="M19" i="1"/>
  <c r="M21" i="1"/>
  <c r="M13" i="1"/>
  <c r="M11" i="1"/>
  <c r="M10" i="1"/>
  <c r="M12" i="1"/>
  <c r="L22" i="1"/>
  <c r="L20" i="1"/>
  <c r="L19" i="1"/>
  <c r="L21" i="1"/>
  <c r="L13" i="1"/>
  <c r="L11" i="1"/>
  <c r="L10" i="1"/>
  <c r="L12" i="1"/>
  <c r="K22" i="1"/>
  <c r="K19" i="1"/>
  <c r="K21" i="1"/>
  <c r="K13" i="1"/>
  <c r="K11" i="1"/>
  <c r="K10" i="1"/>
  <c r="K12" i="1"/>
  <c r="M40" i="1" l="1"/>
  <c r="L40" i="1"/>
  <c r="K40" i="1" l="1"/>
  <c r="M28" i="1" l="1"/>
  <c r="M16" i="1"/>
  <c r="M27" i="1"/>
  <c r="C40" i="1" l="1"/>
  <c r="B7" i="1" l="1"/>
  <c r="I34" i="1" l="1"/>
  <c r="J34" i="1"/>
  <c r="K34" i="1"/>
  <c r="L34" i="1"/>
  <c r="M34" i="1"/>
  <c r="H34" i="1"/>
  <c r="C34" i="1"/>
  <c r="D34" i="1"/>
  <c r="E34" i="1"/>
  <c r="F34" i="1"/>
  <c r="G34" i="1"/>
  <c r="B34" i="1"/>
  <c r="L28" i="1" l="1"/>
  <c r="L27" i="1"/>
  <c r="K28" i="1" l="1"/>
  <c r="K27" i="1"/>
  <c r="K29" i="1" l="1"/>
  <c r="L29" i="1"/>
  <c r="M29" i="1"/>
  <c r="K26" i="1"/>
  <c r="L26" i="1"/>
  <c r="M26" i="1"/>
  <c r="K25" i="1"/>
  <c r="L25" i="1"/>
  <c r="M25" i="1"/>
  <c r="I40" i="1" l="1"/>
  <c r="H30" i="1" l="1"/>
  <c r="I29" i="1" l="1"/>
  <c r="J29" i="1"/>
  <c r="H29" i="1"/>
  <c r="J28" i="1" l="1"/>
  <c r="J27" i="1"/>
  <c r="H40" i="1" l="1"/>
  <c r="I28" i="1" l="1"/>
  <c r="I16" i="1"/>
  <c r="I27" i="1"/>
  <c r="H28" i="1" l="1"/>
  <c r="H16" i="1"/>
  <c r="H27" i="1"/>
  <c r="H26" i="1" l="1"/>
  <c r="I26" i="1"/>
  <c r="J26" i="1"/>
  <c r="H25" i="1"/>
  <c r="I25" i="1"/>
  <c r="J25" i="1"/>
  <c r="D16" i="1" l="1"/>
  <c r="D15" i="1" s="1"/>
  <c r="G40" i="1" l="1"/>
  <c r="E40" i="1" l="1"/>
  <c r="F40" i="1" l="1"/>
  <c r="G28" i="1" l="1"/>
  <c r="G27" i="1"/>
  <c r="F28" i="1" l="1"/>
  <c r="F27" i="1"/>
  <c r="E28" i="1" l="1"/>
  <c r="E27" i="1"/>
  <c r="E26" i="1" l="1"/>
  <c r="F26" i="1"/>
  <c r="G26" i="1"/>
  <c r="E25" i="1"/>
  <c r="F25" i="1"/>
  <c r="G25" i="1"/>
  <c r="D40" i="1" l="1"/>
  <c r="D28" i="1" l="1"/>
  <c r="D27" i="1"/>
  <c r="B40" i="1" l="1"/>
  <c r="C28" i="1" l="1"/>
  <c r="C16" i="1"/>
  <c r="C27" i="1"/>
  <c r="B28" i="1" l="1"/>
  <c r="B16" i="1"/>
  <c r="B27" i="1"/>
  <c r="C26" i="1" l="1"/>
  <c r="D26" i="1"/>
  <c r="C25" i="1"/>
  <c r="D25" i="1"/>
  <c r="B26" i="1"/>
  <c r="B25" i="1"/>
  <c r="N8" i="1" l="1"/>
  <c r="N9" i="1"/>
  <c r="N10" i="1"/>
  <c r="N11" i="1"/>
  <c r="N12" i="1"/>
  <c r="N13" i="1"/>
  <c r="N14" i="1"/>
  <c r="N7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25" i="1"/>
  <c r="J15" i="1" l="1"/>
  <c r="I15" i="1"/>
  <c r="J41" i="1" l="1"/>
  <c r="J42" i="1" s="1"/>
  <c r="H15" i="1"/>
  <c r="G15" i="1" l="1"/>
  <c r="F15" i="1"/>
  <c r="E15" i="1"/>
  <c r="G41" i="1" l="1"/>
  <c r="G42" i="1" s="1"/>
  <c r="F41" i="1"/>
  <c r="F42" i="1" s="1"/>
  <c r="E41" i="1"/>
  <c r="E42" i="1" s="1"/>
  <c r="C15" i="1"/>
  <c r="B15" i="1"/>
  <c r="B41" i="1" s="1"/>
  <c r="N5" i="1" l="1"/>
  <c r="N4" i="1"/>
  <c r="K6" i="1" l="1"/>
  <c r="N17" i="1"/>
  <c r="K15" i="1"/>
  <c r="L15" i="1"/>
  <c r="M15" i="1"/>
  <c r="M41" i="1" s="1"/>
  <c r="L6" i="1"/>
  <c r="M6" i="1"/>
  <c r="K41" i="1" l="1"/>
  <c r="N15" i="1"/>
  <c r="M42" i="1"/>
  <c r="L41" i="1"/>
  <c r="L42" i="1" s="1"/>
  <c r="K42" i="1" l="1"/>
  <c r="J6" i="1"/>
  <c r="I41" i="1"/>
  <c r="I42" i="1" s="1"/>
  <c r="I6" i="1"/>
  <c r="H6" i="1"/>
  <c r="H41" i="1"/>
  <c r="H42" i="1" s="1"/>
  <c r="D41" i="1" l="1"/>
  <c r="D42" i="1" s="1"/>
  <c r="D6" i="1"/>
  <c r="C41" i="1"/>
  <c r="C42" i="1" s="1"/>
  <c r="C6" i="1"/>
  <c r="B6" i="1"/>
  <c r="N18" i="1" l="1"/>
  <c r="N22" i="1"/>
  <c r="E6" i="1"/>
  <c r="N20" i="1"/>
  <c r="N16" i="1"/>
  <c r="N21" i="1"/>
  <c r="G6" i="1"/>
  <c r="N19" i="1"/>
  <c r="F6" i="1"/>
  <c r="N6" i="1" l="1"/>
  <c r="N44" i="1" s="1"/>
  <c r="B42" i="1"/>
  <c r="B43" i="1" s="1"/>
  <c r="N41" i="1"/>
  <c r="N42" i="1" s="1"/>
  <c r="N43" i="1" s="1"/>
  <c r="B44" i="1"/>
  <c r="C5" i="1" s="1"/>
  <c r="C44" i="1" l="1"/>
  <c r="D5" i="1" s="1"/>
  <c r="D44" i="1" s="1"/>
  <c r="E5" i="1" s="1"/>
  <c r="E44" i="1" s="1"/>
  <c r="F5" i="1" l="1"/>
  <c r="C4" i="1"/>
  <c r="C43" i="1" s="1"/>
  <c r="F44" i="1" l="1"/>
  <c r="G5" i="1" s="1"/>
  <c r="D4" i="1"/>
  <c r="D43" i="1" s="1"/>
  <c r="G44" i="1" l="1"/>
  <c r="H5" i="1" s="1"/>
  <c r="H44" i="1" s="1"/>
  <c r="I5" i="1" s="1"/>
  <c r="I44" i="1" s="1"/>
  <c r="J5" i="1" s="1"/>
  <c r="E4" i="1"/>
  <c r="E43" i="1" s="1"/>
  <c r="J44" i="1" l="1"/>
  <c r="K5" i="1" s="1"/>
  <c r="K44" i="1" s="1"/>
  <c r="L5" i="1" s="1"/>
  <c r="L44" i="1" s="1"/>
  <c r="M5" i="1" s="1"/>
  <c r="M44" i="1" s="1"/>
  <c r="F4" i="1"/>
  <c r="F43" i="1" s="1"/>
  <c r="G4" i="1" l="1"/>
  <c r="G43" i="1" s="1"/>
  <c r="H4" i="1" l="1"/>
  <c r="H43" i="1" s="1"/>
  <c r="I4" i="1" l="1"/>
  <c r="I43" i="1" l="1"/>
  <c r="J4" i="1" s="1"/>
  <c r="J43" i="1" l="1"/>
  <c r="K4" i="1" s="1"/>
  <c r="K43" i="1" s="1"/>
  <c r="L4" i="1" s="1"/>
  <c r="L43" i="1" s="1"/>
  <c r="M4" i="1" s="1"/>
  <c r="M43" i="1" s="1"/>
</calcChain>
</file>

<file path=xl/sharedStrings.xml><?xml version="1.0" encoding="utf-8"?>
<sst xmlns="http://schemas.openxmlformats.org/spreadsheetml/2006/main" count="56" uniqueCount="48">
  <si>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</si>
  <si>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</si>
  <si>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</si>
  <si>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</si>
  <si>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</si>
  <si>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</si>
  <si>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</si>
  <si>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</si>
  <si>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</si>
  <si>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</si>
  <si>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</si>
  <si>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</si>
  <si>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</si>
  <si>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</si>
  <si>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</si>
  <si>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</si>
  <si>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</si>
  <si>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</si>
  <si>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</si>
  <si>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</si>
  <si>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</si>
  <si>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</si>
  <si>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</si>
  <si>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</si>
  <si>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Доход от использования общего имущества</t>
  </si>
  <si>
    <t>Комплексное обслуживание лифтов</t>
  </si>
  <si>
    <t>Периодическое техническое освидетельствование лифтов</t>
  </si>
  <si>
    <t>Услуги охраны, диспетчеризации и мониторинга</t>
  </si>
  <si>
    <t>Вознаграждение, координация с советом МКД</t>
  </si>
  <si>
    <t xml:space="preserve">Отведение сточных вод ОИ </t>
  </si>
  <si>
    <t>Содержание жилья и текущий ремонт,  ОПУ/ жилые</t>
  </si>
  <si>
    <t>Содержание жилья и текущий ремонт, ОПУ/ нежилые</t>
  </si>
  <si>
    <t>Содержание жилья и текущий ремонт,  ОПУ</t>
  </si>
  <si>
    <t>Содержание жилья и текущий ремонт,  ОПУ/ нежилые</t>
  </si>
  <si>
    <t>Январь 2021г.</t>
  </si>
  <si>
    <t>Февраль 2021г.</t>
  </si>
  <si>
    <t>Март 2021г.</t>
  </si>
  <si>
    <t>Апрель 2021г.</t>
  </si>
  <si>
    <t>Май 2021г.</t>
  </si>
  <si>
    <t>Июнь 2021г.</t>
  </si>
  <si>
    <t>Июль 2021г</t>
  </si>
  <si>
    <t>Август 2021г.</t>
  </si>
  <si>
    <t>Сентябрь 2021г.</t>
  </si>
  <si>
    <t>Октябрь 2021г.</t>
  </si>
  <si>
    <t>Ноябрь 2021г.</t>
  </si>
  <si>
    <t>Декабрь 2021г</t>
  </si>
  <si>
    <t>Всего:                       за  2021г</t>
  </si>
  <si>
    <t xml:space="preserve">                 ОТЧЕТ по дому Коммунарский, 16/1 за период 01.01.2021г. по 31.12.2021г.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</si>
</sst>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0" x14ac:knownFonts="1">
    <font>
      <sz val="10"/>
      <name val="Arial Cyr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5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1" fillId="4" borderId="3" xfId="0" applyFont="1" applyFill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164" fontId="9" fillId="2" borderId="4" xfId="0" applyNumberFormat="1" applyFont="1" applyFill="1" applyBorder="1" applyAlignment="1">
      <alignment horizontal="left" vertical="top" wrapText="1"/>
    </xf>
    <xf numFmtId="164" fontId="9" fillId="3" borderId="4" xfId="0" applyNumberFormat="1" applyFont="1" applyFill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9" fillId="4" borderId="4" xfId="0" applyNumberFormat="1" applyFont="1" applyFill="1" applyBorder="1" applyAlignment="1">
      <alignment horizontal="left" vertical="top" wrapText="1"/>
    </xf>
    <xf numFmtId="164" fontId="7" fillId="0" borderId="6" xfId="0" applyNumberFormat="1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9" fillId="0" borderId="5" xfId="0" applyNumberFormat="1" applyFont="1" applyBorder="1" applyAlignment="1">
      <alignment horizontal="left" vertical="top" wrapText="1"/>
    </xf>
    <xf numFmtId="164" fontId="9" fillId="0" borderId="4" xfId="0" applyNumberFormat="1" applyFont="1" applyBorder="1" applyAlignment="1">
      <alignment horizontal="left" vertical="top" wrapText="1"/>
    </xf>
    <xf numFmtId="164" fontId="0" fillId="0" borderId="0" xfId="0" applyNumberFormat="1"/>
    <xf numFmtId="0" fontId="7" fillId="0" borderId="3" xfId="0" applyFont="1" applyFill="1" applyBorder="1" applyAlignment="1">
      <alignment vertical="top" wrapText="1"/>
    </xf>
    <xf numFmtId="0" fontId="0" fillId="0" borderId="0" xfId="0" applyFill="1"/>
    <xf numFmtId="164" fontId="7" fillId="0" borderId="4" xfId="0" applyNumberFormat="1" applyFont="1" applyBorder="1" applyAlignment="1">
      <alignment horizontal="left" vertical="top" wrapText="1"/>
    </xf>
    <xf numFmtId="164" fontId="7" fillId="0" borderId="4" xfId="0" applyNumberFormat="1" applyFont="1" applyFill="1" applyBorder="1" applyAlignment="1">
      <alignment horizontal="left" vertical="top" wrapText="1"/>
    </xf>
    <xf numFmtId="4" fontId="0" fillId="0" borderId="0" xfId="0" applyNumberFormat="1"/>
    <xf numFmtId="164" fontId="0" fillId="0" borderId="0" xfId="0" applyNumberFormat="1" applyFill="1"/>
    <xf numFmtId="0" fontId="3" fillId="0" borderId="0" xfId="0" applyFont="1" applyAlignment="1">
      <alignment horizontal="center"/>
    </xf>
    <xf numFmtId="0" fontId="8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1"/>
  <sheetViews>
    <sheetView tabSelected="1" zoomScale="75" workbookViewId="0">
      <selection activeCell="B2" sqref="B1:K1048576"/>
    </sheetView>
  </sheetViews>
  <sheetFormatPr defaultRowHeight="13.2" x14ac:dyDescent="0.25"/>
  <cols>
    <col min="1" max="1" width="58.6640625" customWidth="1"/>
    <col min="2" max="2" width="14.5546875" customWidth="1"/>
    <col min="3" max="13" width="14.33203125" customWidth="1"/>
    <col min="14" max="14" width="15.109375" customWidth="1"/>
    <col min="15" max="15" width="10.44140625" bestFit="1" customWidth="1"/>
    <col min="17" max="17" width="16.6640625" customWidth="1"/>
    <col min="18" max="18" width="15.5546875" bestFit="1" customWidth="1"/>
  </cols>
  <sheetData>
    <row r="1" spans="1:18" ht="20.25" customHeight="1" x14ac:dyDescent="0.35">
      <c r="A1" s="27" t="s">
        <v>47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8" ht="7.5" customHeight="1" thickBot="1" x14ac:dyDescent="0.3">
      <c r="A2" s="1"/>
      <c r="R2" s="2"/>
    </row>
    <row r="3" spans="1:18" ht="38.25" customHeight="1" thickBot="1" x14ac:dyDescent="0.3">
      <c r="A3" s="3" t="s">
        <v>0</v>
      </c>
      <c r="B3" s="4" t="s">
        <v>34</v>
      </c>
      <c r="C3" s="4" t="s">
        <v>35</v>
      </c>
      <c r="D3" s="4" t="s">
        <v>36</v>
      </c>
      <c r="E3" s="4" t="s">
        <v>37</v>
      </c>
      <c r="F3" s="4" t="s">
        <v>38</v>
      </c>
      <c r="G3" s="4" t="s">
        <v>39</v>
      </c>
      <c r="H3" s="4" t="s">
        <v>40</v>
      </c>
      <c r="I3" s="4" t="s">
        <v>41</v>
      </c>
      <c r="J3" s="4" t="s">
        <v>42</v>
      </c>
      <c r="K3" s="4" t="s">
        <v>43</v>
      </c>
      <c r="L3" s="4" t="s">
        <v>44</v>
      </c>
      <c r="M3" s="4" t="s">
        <v>45</v>
      </c>
      <c r="N3" s="4" t="s">
        <v>46</v>
      </c>
    </row>
    <row r="4" spans="1:18" ht="23.25" customHeight="1" thickBot="1" x14ac:dyDescent="0.3">
      <c r="A4" s="5" t="s">
        <v>14</v>
      </c>
      <c r="B4" s="11">
        <v>-323193.73</v>
      </c>
      <c r="C4" s="11">
        <f t="shared" ref="C4:D5" si="0">B43</f>
        <v>-319517.53674999997</v>
      </c>
      <c r="D4" s="11">
        <f t="shared" si="0"/>
        <v>-297532.19374999998</v>
      </c>
      <c r="E4" s="11">
        <f t="shared" ref="E4:E5" si="1">D43</f>
        <v>-251615.85280999992</v>
      </c>
      <c r="F4" s="11">
        <f t="shared" ref="F4:F5" si="2">E43</f>
        <v>-246793.17451999985</v>
      </c>
      <c r="G4" s="11">
        <f t="shared" ref="G4:G5" si="3">F43</f>
        <v>-278212.55274999986</v>
      </c>
      <c r="H4" s="11">
        <f t="shared" ref="H4:H5" si="4">G43</f>
        <v>-275656.16123999987</v>
      </c>
      <c r="I4" s="11">
        <f t="shared" ref="I4:I5" si="5">H43</f>
        <v>-322528.96100999985</v>
      </c>
      <c r="J4" s="11">
        <f t="shared" ref="J4:J5" si="6">I43</f>
        <v>-279288.44822999986</v>
      </c>
      <c r="K4" s="11">
        <f t="shared" ref="K4:K5" si="7">J43</f>
        <v>-345647.37422999984</v>
      </c>
      <c r="L4" s="11">
        <f t="shared" ref="L4:L5" si="8">K43</f>
        <v>-538674.68291999982</v>
      </c>
      <c r="M4" s="11">
        <f t="shared" ref="M4:M5" si="9">L43</f>
        <v>-540270.54391999985</v>
      </c>
      <c r="N4" s="11">
        <f>B4</f>
        <v>-323193.73</v>
      </c>
    </row>
    <row r="5" spans="1:18" ht="21" customHeight="1" thickBot="1" x14ac:dyDescent="0.3">
      <c r="A5" s="5" t="s">
        <v>13</v>
      </c>
      <c r="B5" s="11">
        <v>-548233.38</v>
      </c>
      <c r="C5" s="11">
        <f t="shared" si="0"/>
        <v>-571682.06999999995</v>
      </c>
      <c r="D5" s="11">
        <f t="shared" si="0"/>
        <v>-602184.71</v>
      </c>
      <c r="E5" s="11">
        <f t="shared" si="1"/>
        <v>-592229.47</v>
      </c>
      <c r="F5" s="11">
        <f t="shared" si="2"/>
        <v>-586687.1</v>
      </c>
      <c r="G5" s="11">
        <f t="shared" si="3"/>
        <v>-633684.41999999993</v>
      </c>
      <c r="H5" s="11">
        <f t="shared" si="4"/>
        <v>-629861.05999999994</v>
      </c>
      <c r="I5" s="11">
        <f t="shared" si="5"/>
        <v>-645407.98999999987</v>
      </c>
      <c r="J5" s="11">
        <f t="shared" si="6"/>
        <v>-656207.69999999984</v>
      </c>
      <c r="K5" s="11">
        <f t="shared" si="7"/>
        <v>-602981.83999999985</v>
      </c>
      <c r="L5" s="11">
        <f t="shared" si="8"/>
        <v>-616228.22999999986</v>
      </c>
      <c r="M5" s="11">
        <f t="shared" si="9"/>
        <v>-628454.70999999985</v>
      </c>
      <c r="N5" s="11">
        <f>B5</f>
        <v>-548233.38</v>
      </c>
    </row>
    <row r="6" spans="1:18" ht="20.25" customHeight="1" thickBot="1" x14ac:dyDescent="0.3">
      <c r="A6" s="6" t="s">
        <v>12</v>
      </c>
      <c r="B6" s="12">
        <f>SUM(B7:B14)</f>
        <v>182028.01999999996</v>
      </c>
      <c r="C6" s="12">
        <f>SUM(C7:C14)</f>
        <v>188674.46999999997</v>
      </c>
      <c r="D6" s="12">
        <f>SUM(D7:D14)</f>
        <v>170630.39999999997</v>
      </c>
      <c r="E6" s="12">
        <f t="shared" ref="E6:M6" si="10">SUM(E7:E14)</f>
        <v>147609.65</v>
      </c>
      <c r="F6" s="12">
        <f t="shared" si="10"/>
        <v>172035.91999999998</v>
      </c>
      <c r="G6" s="12">
        <f t="shared" si="10"/>
        <v>174557.3</v>
      </c>
      <c r="H6" s="12">
        <f t="shared" si="10"/>
        <v>205675.98999999996</v>
      </c>
      <c r="I6" s="12">
        <f t="shared" si="10"/>
        <v>219199.66999999998</v>
      </c>
      <c r="J6" s="12">
        <f t="shared" si="10"/>
        <v>187030.43</v>
      </c>
      <c r="K6" s="12">
        <f t="shared" si="10"/>
        <v>191600.78</v>
      </c>
      <c r="L6" s="12">
        <f t="shared" si="10"/>
        <v>190801.15999999997</v>
      </c>
      <c r="M6" s="12">
        <f t="shared" si="10"/>
        <v>203686.36</v>
      </c>
      <c r="N6" s="12">
        <f>SUM(B6:M6)</f>
        <v>2233530.15</v>
      </c>
    </row>
    <row r="7" spans="1:18" ht="21.75" customHeight="1" thickBot="1" x14ac:dyDescent="0.3">
      <c r="A7" s="10" t="s">
        <v>30</v>
      </c>
      <c r="B7" s="23">
        <f>154714.23</f>
        <v>154714.23000000001</v>
      </c>
      <c r="C7" s="23">
        <v>154714.23000000001</v>
      </c>
      <c r="D7" s="23">
        <v>154714.23000000001</v>
      </c>
      <c r="E7" s="23">
        <v>154714.23000000001</v>
      </c>
      <c r="F7" s="23">
        <v>154714.23000000001</v>
      </c>
      <c r="G7" s="23">
        <v>154714.23000000001</v>
      </c>
      <c r="H7" s="23">
        <v>170980.74</v>
      </c>
      <c r="I7" s="23">
        <v>170980.74</v>
      </c>
      <c r="J7" s="23">
        <v>170964.06</v>
      </c>
      <c r="K7" s="13">
        <v>170964.06</v>
      </c>
      <c r="L7" s="13">
        <v>170964.06</v>
      </c>
      <c r="M7" s="13">
        <v>170964.06</v>
      </c>
      <c r="N7" s="13">
        <f>SUM(B7:M7)</f>
        <v>1954103.1000000003</v>
      </c>
    </row>
    <row r="8" spans="1:18" ht="21" customHeight="1" thickBot="1" x14ac:dyDescent="0.3">
      <c r="A8" s="10" t="s">
        <v>31</v>
      </c>
      <c r="B8" s="23">
        <v>1235.33</v>
      </c>
      <c r="C8" s="23">
        <v>1235.33</v>
      </c>
      <c r="D8" s="23">
        <v>1235.33</v>
      </c>
      <c r="E8" s="23">
        <v>1235.33</v>
      </c>
      <c r="F8" s="23">
        <v>1235.33</v>
      </c>
      <c r="G8" s="23">
        <v>1235.33</v>
      </c>
      <c r="H8" s="23">
        <v>1365.68</v>
      </c>
      <c r="I8" s="23">
        <v>1365.68</v>
      </c>
      <c r="J8" s="23">
        <v>1365.68</v>
      </c>
      <c r="K8" s="13">
        <v>1365.68</v>
      </c>
      <c r="L8" s="23">
        <v>1365.68</v>
      </c>
      <c r="M8" s="23">
        <v>1365.68</v>
      </c>
      <c r="N8" s="23">
        <f t="shared" ref="N8:N14" si="11">SUM(B8:M8)</f>
        <v>15606.060000000001</v>
      </c>
    </row>
    <row r="9" spans="1:18" ht="23.25" customHeight="1" thickBot="1" x14ac:dyDescent="0.3">
      <c r="A9" s="10" t="s">
        <v>15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13628.56</v>
      </c>
      <c r="J9" s="23">
        <v>0</v>
      </c>
      <c r="K9" s="13">
        <v>0</v>
      </c>
      <c r="L9" s="13">
        <v>0</v>
      </c>
      <c r="M9" s="13">
        <v>0</v>
      </c>
      <c r="N9" s="23">
        <f t="shared" si="11"/>
        <v>13628.56</v>
      </c>
    </row>
    <row r="10" spans="1:18" ht="21" customHeight="1" thickBot="1" x14ac:dyDescent="0.3">
      <c r="A10" s="10" t="s">
        <v>16</v>
      </c>
      <c r="B10" s="23">
        <v>668.24</v>
      </c>
      <c r="C10" s="23">
        <v>0</v>
      </c>
      <c r="D10" s="23">
        <v>243.33</v>
      </c>
      <c r="E10" s="23">
        <v>-22773.49</v>
      </c>
      <c r="F10" s="23">
        <v>0</v>
      </c>
      <c r="G10" s="23">
        <v>2360.19</v>
      </c>
      <c r="H10" s="23">
        <v>843.81</v>
      </c>
      <c r="I10" s="23">
        <v>1382.57</v>
      </c>
      <c r="J10" s="23">
        <v>246.82</v>
      </c>
      <c r="K10" s="13">
        <f>526.6+3.93</f>
        <v>530.53</v>
      </c>
      <c r="L10" s="13">
        <f>814.22+6.55</f>
        <v>820.77</v>
      </c>
      <c r="M10" s="13">
        <f>453.53+3.93</f>
        <v>457.46</v>
      </c>
      <c r="N10" s="23">
        <f t="shared" si="11"/>
        <v>-15219.770000000004</v>
      </c>
    </row>
    <row r="11" spans="1:18" ht="18.75" customHeight="1" thickBot="1" x14ac:dyDescent="0.3">
      <c r="A11" s="10" t="s">
        <v>17</v>
      </c>
      <c r="B11" s="23">
        <v>10972.71</v>
      </c>
      <c r="C11" s="23">
        <v>18287.400000000001</v>
      </c>
      <c r="D11" s="23">
        <v>0</v>
      </c>
      <c r="E11" s="23">
        <v>0</v>
      </c>
      <c r="F11" s="23">
        <v>1648.85</v>
      </c>
      <c r="G11" s="23">
        <v>1810.04</v>
      </c>
      <c r="H11" s="23">
        <v>18031.87</v>
      </c>
      <c r="I11" s="23">
        <v>17388.23</v>
      </c>
      <c r="J11" s="23">
        <v>0</v>
      </c>
      <c r="K11" s="13">
        <f>4252.58+34.06</f>
        <v>4286.6400000000003</v>
      </c>
      <c r="L11" s="13">
        <f>3171.23+25.55</f>
        <v>3196.78</v>
      </c>
      <c r="M11" s="13">
        <f>16314.94+130.35</f>
        <v>16445.29</v>
      </c>
      <c r="N11" s="23">
        <f t="shared" si="11"/>
        <v>92067.81</v>
      </c>
    </row>
    <row r="12" spans="1:18" ht="18.75" customHeight="1" thickBot="1" x14ac:dyDescent="0.3">
      <c r="A12" s="10" t="s">
        <v>29</v>
      </c>
      <c r="B12" s="23">
        <v>923.83</v>
      </c>
      <c r="C12" s="23">
        <v>923.83</v>
      </c>
      <c r="D12" s="23">
        <v>923.83</v>
      </c>
      <c r="E12" s="23">
        <v>919.9</v>
      </c>
      <c r="F12" s="23">
        <v>923.83</v>
      </c>
      <c r="G12" s="23">
        <v>923.83</v>
      </c>
      <c r="H12" s="23">
        <v>940.21</v>
      </c>
      <c r="I12" s="23">
        <v>940.21</v>
      </c>
      <c r="J12" s="23">
        <v>940.19</v>
      </c>
      <c r="K12" s="13">
        <f>932.98+7.21</f>
        <v>940.19</v>
      </c>
      <c r="L12" s="13">
        <f>932.98+7.21</f>
        <v>940.19</v>
      </c>
      <c r="M12" s="13">
        <f>932.98+7.21</f>
        <v>940.19</v>
      </c>
      <c r="N12" s="23">
        <f t="shared" si="11"/>
        <v>11180.230000000001</v>
      </c>
    </row>
    <row r="13" spans="1:18" ht="18.75" customHeight="1" thickBot="1" x14ac:dyDescent="0.3">
      <c r="A13" s="10" t="s">
        <v>28</v>
      </c>
      <c r="B13" s="23">
        <v>12163.68</v>
      </c>
      <c r="C13" s="23">
        <v>12163.68</v>
      </c>
      <c r="D13" s="23">
        <v>12163.68</v>
      </c>
      <c r="E13" s="23">
        <v>12163.68</v>
      </c>
      <c r="F13" s="23">
        <v>12163.68</v>
      </c>
      <c r="G13" s="23">
        <v>12163.68</v>
      </c>
      <c r="H13" s="23">
        <v>12163.68</v>
      </c>
      <c r="I13" s="23">
        <v>12163.68</v>
      </c>
      <c r="J13" s="23">
        <v>12163.68</v>
      </c>
      <c r="K13" s="13">
        <f>12079.21+84.47</f>
        <v>12163.679999999998</v>
      </c>
      <c r="L13" s="13">
        <f>12079.21+84.47</f>
        <v>12163.679999999998</v>
      </c>
      <c r="M13" s="13">
        <f>12079.21+84.47</f>
        <v>12163.679999999998</v>
      </c>
      <c r="N13" s="23">
        <f t="shared" si="11"/>
        <v>145964.15999999997</v>
      </c>
    </row>
    <row r="14" spans="1:18" ht="22.5" customHeight="1" thickBot="1" x14ac:dyDescent="0.3">
      <c r="A14" s="10" t="s">
        <v>24</v>
      </c>
      <c r="B14" s="13">
        <v>1350</v>
      </c>
      <c r="C14" s="23">
        <v>1350</v>
      </c>
      <c r="D14" s="23">
        <v>1350</v>
      </c>
      <c r="E14" s="23">
        <v>1350</v>
      </c>
      <c r="F14" s="23">
        <v>1350</v>
      </c>
      <c r="G14" s="23">
        <v>1350</v>
      </c>
      <c r="H14" s="23">
        <v>1350</v>
      </c>
      <c r="I14" s="23">
        <v>1350</v>
      </c>
      <c r="J14" s="23">
        <v>1350</v>
      </c>
      <c r="K14" s="23">
        <v>1350</v>
      </c>
      <c r="L14" s="23">
        <v>1350</v>
      </c>
      <c r="M14" s="23">
        <v>1350</v>
      </c>
      <c r="N14" s="23">
        <f t="shared" si="11"/>
        <v>16200</v>
      </c>
    </row>
    <row r="15" spans="1:18" ht="20.25" customHeight="1" thickBot="1" x14ac:dyDescent="0.3">
      <c r="A15" s="8" t="s">
        <v>8</v>
      </c>
      <c r="B15" s="14">
        <f t="shared" ref="B15:J15" si="12">SUM(B16:B23)</f>
        <v>158579.33000000002</v>
      </c>
      <c r="C15" s="14">
        <f t="shared" si="12"/>
        <v>158171.83000000002</v>
      </c>
      <c r="D15" s="14">
        <f t="shared" si="12"/>
        <v>180585.64</v>
      </c>
      <c r="E15" s="14">
        <f t="shared" si="12"/>
        <v>153152.02000000005</v>
      </c>
      <c r="F15" s="14">
        <f t="shared" si="12"/>
        <v>125038.59999999999</v>
      </c>
      <c r="G15" s="14">
        <f t="shared" si="12"/>
        <v>178380.65999999997</v>
      </c>
      <c r="H15" s="14">
        <f t="shared" si="12"/>
        <v>190129.06</v>
      </c>
      <c r="I15" s="14">
        <f t="shared" si="12"/>
        <v>208399.96000000002</v>
      </c>
      <c r="J15" s="14">
        <f t="shared" si="12"/>
        <v>240256.29000000004</v>
      </c>
      <c r="K15" s="14">
        <f t="shared" ref="K15:M15" si="13">SUM(K16:K23)</f>
        <v>178354.38999999998</v>
      </c>
      <c r="L15" s="14">
        <f t="shared" si="13"/>
        <v>178574.68</v>
      </c>
      <c r="M15" s="14">
        <f t="shared" si="13"/>
        <v>179450.42999999996</v>
      </c>
      <c r="N15" s="14">
        <f>SUM(B15:M15)</f>
        <v>2129072.89</v>
      </c>
    </row>
    <row r="16" spans="1:18" ht="21" customHeight="1" thickBot="1" x14ac:dyDescent="0.3">
      <c r="A16" s="10" t="s">
        <v>32</v>
      </c>
      <c r="B16" s="13">
        <f>138379.21</f>
        <v>138379.21</v>
      </c>
      <c r="C16" s="13">
        <f>135997.67+300</f>
        <v>136297.67000000001</v>
      </c>
      <c r="D16" s="13">
        <f>147377.29+39.84</f>
        <v>147417.13</v>
      </c>
      <c r="E16" s="13">
        <v>160933.92000000001</v>
      </c>
      <c r="F16" s="13">
        <v>110612.25</v>
      </c>
      <c r="G16" s="13">
        <v>161989.35</v>
      </c>
      <c r="H16" s="13">
        <f>166415.83+246.72</f>
        <v>166662.54999999999</v>
      </c>
      <c r="I16" s="13">
        <f>176963.32+61.48</f>
        <v>177024.80000000002</v>
      </c>
      <c r="J16" s="13">
        <v>195408.16</v>
      </c>
      <c r="K16" s="13">
        <v>159058.74</v>
      </c>
      <c r="L16" s="13">
        <v>159553.04</v>
      </c>
      <c r="M16" s="13">
        <f>162087.58+10</f>
        <v>162097.57999999999</v>
      </c>
      <c r="N16" s="13">
        <f>SUM(B16:M16)</f>
        <v>1875434.4000000001</v>
      </c>
    </row>
    <row r="17" spans="1:17" ht="21" customHeight="1" thickBot="1" x14ac:dyDescent="0.3">
      <c r="A17" s="10" t="s">
        <v>33</v>
      </c>
      <c r="B17" s="23">
        <v>1235.33</v>
      </c>
      <c r="C17" s="23">
        <v>0</v>
      </c>
      <c r="D17" s="23">
        <v>2470.66</v>
      </c>
      <c r="E17" s="23">
        <v>0</v>
      </c>
      <c r="F17" s="23">
        <v>2470.66</v>
      </c>
      <c r="G17" s="23">
        <v>1235.33</v>
      </c>
      <c r="H17" s="23">
        <v>1235.33</v>
      </c>
      <c r="I17" s="23">
        <v>1365.68</v>
      </c>
      <c r="J17" s="23">
        <v>0</v>
      </c>
      <c r="K17" s="13">
        <v>1365.68</v>
      </c>
      <c r="L17" s="23">
        <v>1365.68</v>
      </c>
      <c r="M17" s="23">
        <v>1365.68</v>
      </c>
      <c r="N17" s="13">
        <f t="shared" ref="N17:N23" si="14">SUM(B17:M17)</f>
        <v>14110.03</v>
      </c>
    </row>
    <row r="18" spans="1:17" ht="18.75" customHeight="1" thickBot="1" x14ac:dyDescent="0.3">
      <c r="A18" s="10" t="s">
        <v>15</v>
      </c>
      <c r="B18" s="23">
        <v>107.64</v>
      </c>
      <c r="C18" s="23">
        <v>9.9700000000000006</v>
      </c>
      <c r="D18" s="23">
        <v>51.95</v>
      </c>
      <c r="E18" s="23">
        <v>18.95</v>
      </c>
      <c r="F18" s="23">
        <v>8.9</v>
      </c>
      <c r="G18" s="23">
        <v>10</v>
      </c>
      <c r="H18" s="23">
        <v>201.26</v>
      </c>
      <c r="I18" s="23">
        <v>86.81</v>
      </c>
      <c r="J18" s="23">
        <v>12029.72</v>
      </c>
      <c r="K18" s="13">
        <v>464.38</v>
      </c>
      <c r="L18" s="13">
        <v>204.77</v>
      </c>
      <c r="M18" s="13">
        <v>33.11</v>
      </c>
      <c r="N18" s="13">
        <f t="shared" si="14"/>
        <v>13227.46</v>
      </c>
    </row>
    <row r="19" spans="1:17" ht="21.75" customHeight="1" thickBot="1" x14ac:dyDescent="0.3">
      <c r="A19" s="10" t="s">
        <v>16</v>
      </c>
      <c r="B19" s="23">
        <v>1296.24</v>
      </c>
      <c r="C19" s="23">
        <v>622.30999999999995</v>
      </c>
      <c r="D19" s="23">
        <v>104.54</v>
      </c>
      <c r="E19" s="23">
        <v>-20980.43</v>
      </c>
      <c r="F19" s="23">
        <v>0</v>
      </c>
      <c r="G19" s="23">
        <v>0</v>
      </c>
      <c r="H19" s="23">
        <v>9.17</v>
      </c>
      <c r="I19" s="23">
        <v>21.9</v>
      </c>
      <c r="J19" s="23">
        <v>17.13</v>
      </c>
      <c r="K19" s="13">
        <f>2.51+1.97</f>
        <v>4.4799999999999995</v>
      </c>
      <c r="L19" s="13">
        <f>5.41+3.93</f>
        <v>9.34</v>
      </c>
      <c r="M19" s="13">
        <f>8.36+6.55</f>
        <v>14.91</v>
      </c>
      <c r="N19" s="13">
        <f t="shared" si="14"/>
        <v>-18880.41</v>
      </c>
    </row>
    <row r="20" spans="1:17" ht="19.5" customHeight="1" thickBot="1" x14ac:dyDescent="0.3">
      <c r="A20" s="10" t="s">
        <v>17</v>
      </c>
      <c r="B20" s="15">
        <v>4808.79</v>
      </c>
      <c r="C20" s="15">
        <v>9350.4699999999993</v>
      </c>
      <c r="D20" s="15">
        <v>16347.68</v>
      </c>
      <c r="E20" s="15">
        <v>966.42</v>
      </c>
      <c r="F20" s="15">
        <v>282.64</v>
      </c>
      <c r="G20" s="15">
        <v>1512.86</v>
      </c>
      <c r="H20" s="16">
        <v>2612.11</v>
      </c>
      <c r="I20" s="17">
        <v>16550.5</v>
      </c>
      <c r="J20" s="17">
        <v>17627.759999999998</v>
      </c>
      <c r="K20" s="13">
        <v>834.31</v>
      </c>
      <c r="L20" s="13">
        <f>4119.55+34.06</f>
        <v>4153.6100000000006</v>
      </c>
      <c r="M20" s="13">
        <f>3046.91+25.55</f>
        <v>3072.46</v>
      </c>
      <c r="N20" s="13">
        <f t="shared" si="14"/>
        <v>78119.61</v>
      </c>
    </row>
    <row r="21" spans="1:17" ht="19.5" customHeight="1" thickBot="1" x14ac:dyDescent="0.3">
      <c r="A21" s="10" t="s">
        <v>29</v>
      </c>
      <c r="B21" s="16">
        <v>828.73</v>
      </c>
      <c r="C21" s="17">
        <v>805.74</v>
      </c>
      <c r="D21" s="17">
        <v>875.02</v>
      </c>
      <c r="E21" s="17">
        <v>954.25</v>
      </c>
      <c r="F21" s="17">
        <v>637.89</v>
      </c>
      <c r="G21" s="17">
        <v>998.84</v>
      </c>
      <c r="H21" s="23">
        <v>995.82</v>
      </c>
      <c r="I21" s="23">
        <v>990.85</v>
      </c>
      <c r="J21" s="23">
        <v>1077.7</v>
      </c>
      <c r="K21" s="13">
        <f>862.22+7.21</f>
        <v>869.43000000000006</v>
      </c>
      <c r="L21" s="13">
        <f>881.32+7.21</f>
        <v>888.53000000000009</v>
      </c>
      <c r="M21" s="13">
        <f>877.18+7.21</f>
        <v>884.39</v>
      </c>
      <c r="N21" s="13">
        <f t="shared" si="14"/>
        <v>10807.19</v>
      </c>
    </row>
    <row r="22" spans="1:17" ht="19.5" customHeight="1" thickBot="1" x14ac:dyDescent="0.3">
      <c r="A22" s="10" t="s">
        <v>28</v>
      </c>
      <c r="B22" s="16">
        <v>11223.39</v>
      </c>
      <c r="C22" s="16">
        <v>10385.67</v>
      </c>
      <c r="D22" s="16">
        <v>11418.66</v>
      </c>
      <c r="E22" s="16">
        <v>10558.91</v>
      </c>
      <c r="F22" s="16">
        <v>10326.26</v>
      </c>
      <c r="G22" s="16">
        <v>10734.28</v>
      </c>
      <c r="H22" s="23">
        <v>14112.82</v>
      </c>
      <c r="I22" s="23">
        <v>11659.42</v>
      </c>
      <c r="J22" s="23">
        <v>13395.82</v>
      </c>
      <c r="K22" s="13">
        <f>14972.9+84.47</f>
        <v>15057.369999999999</v>
      </c>
      <c r="L22" s="13">
        <f>11615.24+84.47</f>
        <v>11699.71</v>
      </c>
      <c r="M22" s="13">
        <f>11197.83+84.47</f>
        <v>11282.3</v>
      </c>
      <c r="N22" s="13">
        <f t="shared" si="14"/>
        <v>141854.60999999999</v>
      </c>
    </row>
    <row r="23" spans="1:17" ht="18.75" customHeight="1" thickBot="1" x14ac:dyDescent="0.3">
      <c r="A23" s="10" t="s">
        <v>24</v>
      </c>
      <c r="B23" s="16">
        <v>700</v>
      </c>
      <c r="C23" s="16">
        <v>700</v>
      </c>
      <c r="D23" s="16">
        <v>1900</v>
      </c>
      <c r="E23" s="16">
        <v>700</v>
      </c>
      <c r="F23" s="16">
        <v>700</v>
      </c>
      <c r="G23" s="16">
        <v>1900</v>
      </c>
      <c r="H23" s="13">
        <v>4300</v>
      </c>
      <c r="I23" s="13">
        <v>700</v>
      </c>
      <c r="J23" s="13">
        <v>700</v>
      </c>
      <c r="K23" s="23">
        <v>700</v>
      </c>
      <c r="L23" s="23">
        <v>700</v>
      </c>
      <c r="M23" s="23">
        <v>700</v>
      </c>
      <c r="N23" s="23">
        <f t="shared" si="14"/>
        <v>14400</v>
      </c>
    </row>
    <row r="24" spans="1:17" ht="21.75" customHeight="1" thickBot="1" x14ac:dyDescent="0.3">
      <c r="A24" s="9" t="s">
        <v>22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9"/>
    </row>
    <row r="25" spans="1:17" ht="19.5" customHeight="1" thickBot="1" x14ac:dyDescent="0.3">
      <c r="A25" s="10" t="s">
        <v>1</v>
      </c>
      <c r="B25" s="23">
        <f t="shared" ref="B25:M25" si="15">8268.8*0.55</f>
        <v>4547.84</v>
      </c>
      <c r="C25" s="23">
        <f t="shared" si="15"/>
        <v>4547.84</v>
      </c>
      <c r="D25" s="23">
        <f t="shared" si="15"/>
        <v>4547.84</v>
      </c>
      <c r="E25" s="23">
        <f t="shared" si="15"/>
        <v>4547.84</v>
      </c>
      <c r="F25" s="23">
        <f t="shared" si="15"/>
        <v>4547.84</v>
      </c>
      <c r="G25" s="23">
        <f t="shared" si="15"/>
        <v>4547.84</v>
      </c>
      <c r="H25" s="23">
        <f t="shared" si="15"/>
        <v>4547.84</v>
      </c>
      <c r="I25" s="23">
        <f t="shared" si="15"/>
        <v>4547.84</v>
      </c>
      <c r="J25" s="23">
        <f t="shared" si="15"/>
        <v>4547.84</v>
      </c>
      <c r="K25" s="23">
        <f t="shared" si="15"/>
        <v>4547.84</v>
      </c>
      <c r="L25" s="23">
        <f t="shared" si="15"/>
        <v>4547.84</v>
      </c>
      <c r="M25" s="23">
        <f t="shared" si="15"/>
        <v>4547.84</v>
      </c>
      <c r="N25" s="13">
        <f>SUM(B25:M25)</f>
        <v>54574.079999999987</v>
      </c>
      <c r="O25" s="25"/>
    </row>
    <row r="26" spans="1:17" ht="22.5" customHeight="1" thickBot="1" x14ac:dyDescent="0.3">
      <c r="A26" s="10" t="s">
        <v>2</v>
      </c>
      <c r="B26" s="23">
        <f t="shared" ref="B26:M26" si="16">8268.8*0.17</f>
        <v>1405.6959999999999</v>
      </c>
      <c r="C26" s="23">
        <f t="shared" si="16"/>
        <v>1405.6959999999999</v>
      </c>
      <c r="D26" s="23">
        <f t="shared" si="16"/>
        <v>1405.6959999999999</v>
      </c>
      <c r="E26" s="23">
        <f t="shared" si="16"/>
        <v>1405.6959999999999</v>
      </c>
      <c r="F26" s="23">
        <f t="shared" si="16"/>
        <v>1405.6959999999999</v>
      </c>
      <c r="G26" s="23">
        <f t="shared" si="16"/>
        <v>1405.6959999999999</v>
      </c>
      <c r="H26" s="23">
        <f t="shared" si="16"/>
        <v>1405.6959999999999</v>
      </c>
      <c r="I26" s="23">
        <f t="shared" si="16"/>
        <v>1405.6959999999999</v>
      </c>
      <c r="J26" s="23">
        <f t="shared" si="16"/>
        <v>1405.6959999999999</v>
      </c>
      <c r="K26" s="23">
        <f t="shared" si="16"/>
        <v>1405.6959999999999</v>
      </c>
      <c r="L26" s="23">
        <f t="shared" si="16"/>
        <v>1405.6959999999999</v>
      </c>
      <c r="M26" s="23">
        <f t="shared" si="16"/>
        <v>1405.6959999999999</v>
      </c>
      <c r="N26" s="23">
        <f t="shared" ref="N26:N40" si="17">SUM(B26:M26)</f>
        <v>16868.351999999999</v>
      </c>
      <c r="O26" s="25"/>
    </row>
    <row r="27" spans="1:17" ht="21" customHeight="1" thickBot="1" x14ac:dyDescent="0.3">
      <c r="A27" s="10" t="s">
        <v>3</v>
      </c>
      <c r="B27" s="23">
        <f>179258.65*2.3%</f>
        <v>4122.94895</v>
      </c>
      <c r="C27" s="13">
        <f>185852.7*2.3%</f>
        <v>4274.6121000000003</v>
      </c>
      <c r="D27" s="13">
        <f>167951.42*2.3%</f>
        <v>3862.8826600000002</v>
      </c>
      <c r="E27" s="13">
        <f>144936.57*2.3%</f>
        <v>3333.5411100000001</v>
      </c>
      <c r="F27" s="13">
        <f>169345.81*2.3%</f>
        <v>3894.95363</v>
      </c>
      <c r="G27" s="13">
        <f>171833.13*2.3%</f>
        <v>3952.1619900000001</v>
      </c>
      <c r="H27" s="13">
        <f>202719.29*2.3%</f>
        <v>4662.54367</v>
      </c>
      <c r="I27" s="13">
        <f>216135.54*2.3%</f>
        <v>4971.1174200000005</v>
      </c>
      <c r="J27" s="13">
        <f>184221.1*2.3%</f>
        <v>4237.0852999999997</v>
      </c>
      <c r="K27" s="13">
        <f>188755.43*2.3%</f>
        <v>4341.3748900000001</v>
      </c>
      <c r="L27" s="13">
        <f>187961.7*2.3%</f>
        <v>4323.1190999999999</v>
      </c>
      <c r="M27" s="13">
        <f>200744.72*2.3%</f>
        <v>4617.1285600000001</v>
      </c>
      <c r="N27" s="23">
        <f t="shared" si="17"/>
        <v>50593.469379999995</v>
      </c>
      <c r="Q27" s="20"/>
    </row>
    <row r="28" spans="1:17" ht="23.25" customHeight="1" thickBot="1" x14ac:dyDescent="0.3">
      <c r="A28" s="10" t="s">
        <v>4</v>
      </c>
      <c r="B28" s="23">
        <f>156499.26*3%</f>
        <v>4694.9777999999997</v>
      </c>
      <c r="C28" s="13">
        <f>157471.83*3%</f>
        <v>4724.1548999999995</v>
      </c>
      <c r="D28" s="13">
        <f>175772.88*3%</f>
        <v>5273.1863999999996</v>
      </c>
      <c r="E28" s="13">
        <f>152452.02*3%</f>
        <v>4573.5605999999998</v>
      </c>
      <c r="F28" s="13">
        <f>121539.82*3%</f>
        <v>3646.1946000000003</v>
      </c>
      <c r="G28" s="13">
        <f>175140.55*3%</f>
        <v>5254.2164999999995</v>
      </c>
      <c r="H28" s="13">
        <f>184478.47*3%</f>
        <v>5534.3540999999996</v>
      </c>
      <c r="I28" s="13">
        <f>206093.26*3%</f>
        <v>6182.7978000000003</v>
      </c>
      <c r="J28" s="13">
        <f>239556.29*3%</f>
        <v>7186.6886999999997</v>
      </c>
      <c r="K28" s="13">
        <f>176195.06*3%</f>
        <v>5285.8517999999995</v>
      </c>
      <c r="L28" s="13">
        <f>176379.33*3%</f>
        <v>5291.379899999999</v>
      </c>
      <c r="M28" s="13">
        <f>177260.97*3%</f>
        <v>5317.8290999999999</v>
      </c>
      <c r="N28" s="23">
        <f t="shared" si="17"/>
        <v>62965.19219999999</v>
      </c>
    </row>
    <row r="29" spans="1:17" ht="23.25" customHeight="1" thickBot="1" x14ac:dyDescent="0.3">
      <c r="A29" s="7" t="s">
        <v>9</v>
      </c>
      <c r="B29" s="23">
        <v>52920.32</v>
      </c>
      <c r="C29" s="23">
        <v>52920.32</v>
      </c>
      <c r="D29" s="23">
        <v>52920.32</v>
      </c>
      <c r="E29" s="23">
        <v>52920.32</v>
      </c>
      <c r="F29" s="23">
        <v>52920.32</v>
      </c>
      <c r="G29" s="23">
        <v>52920.32</v>
      </c>
      <c r="H29" s="24">
        <f>8266*7.4</f>
        <v>61168.4</v>
      </c>
      <c r="I29" s="24">
        <f t="shared" ref="I29:M29" si="18">8266*7.4</f>
        <v>61168.4</v>
      </c>
      <c r="J29" s="24">
        <f t="shared" si="18"/>
        <v>61168.4</v>
      </c>
      <c r="K29" s="24">
        <f t="shared" si="18"/>
        <v>61168.4</v>
      </c>
      <c r="L29" s="24">
        <f t="shared" si="18"/>
        <v>61168.4</v>
      </c>
      <c r="M29" s="24">
        <f t="shared" si="18"/>
        <v>61168.4</v>
      </c>
      <c r="N29" s="23">
        <f t="shared" si="17"/>
        <v>684532.32000000007</v>
      </c>
    </row>
    <row r="30" spans="1:17" ht="23.25" customHeight="1" thickBot="1" x14ac:dyDescent="0.3">
      <c r="A30" s="10" t="s">
        <v>18</v>
      </c>
      <c r="B30" s="23">
        <v>0</v>
      </c>
      <c r="C30" s="23">
        <v>0</v>
      </c>
      <c r="D30" s="23">
        <v>0</v>
      </c>
      <c r="E30" s="13">
        <v>0</v>
      </c>
      <c r="F30" s="13">
        <v>0</v>
      </c>
      <c r="G30" s="13">
        <v>0</v>
      </c>
      <c r="H30" s="13">
        <f>13628.58+0</f>
        <v>13628.58</v>
      </c>
      <c r="I30" s="13">
        <v>0</v>
      </c>
      <c r="J30" s="13">
        <v>0</v>
      </c>
      <c r="K30" s="13">
        <v>0</v>
      </c>
      <c r="L30" s="23">
        <v>0</v>
      </c>
      <c r="M30" s="23">
        <v>0</v>
      </c>
      <c r="N30" s="23">
        <f t="shared" si="17"/>
        <v>13628.58</v>
      </c>
    </row>
    <row r="31" spans="1:17" ht="20.25" customHeight="1" thickBot="1" x14ac:dyDescent="0.3">
      <c r="A31" s="10" t="s">
        <v>19</v>
      </c>
      <c r="B31" s="23">
        <v>0</v>
      </c>
      <c r="C31" s="13">
        <v>243.31</v>
      </c>
      <c r="D31" s="13">
        <v>444.12</v>
      </c>
      <c r="E31" s="13">
        <v>1187.58</v>
      </c>
      <c r="F31" s="13">
        <v>1162.6099999999999</v>
      </c>
      <c r="G31" s="13">
        <v>844.16</v>
      </c>
      <c r="H31" s="13">
        <v>1382.7</v>
      </c>
      <c r="I31" s="13">
        <v>246.82</v>
      </c>
      <c r="J31" s="13">
        <v>530.88</v>
      </c>
      <c r="K31" s="13">
        <v>833.56</v>
      </c>
      <c r="L31" s="13">
        <v>457.24</v>
      </c>
      <c r="M31" s="13">
        <v>457.24</v>
      </c>
      <c r="N31" s="23">
        <f t="shared" si="17"/>
        <v>7790.2199999999993</v>
      </c>
    </row>
    <row r="32" spans="1:17" ht="19.5" customHeight="1" thickBot="1" x14ac:dyDescent="0.3">
      <c r="A32" s="10" t="s">
        <v>20</v>
      </c>
      <c r="B32" s="23">
        <v>18287.5</v>
      </c>
      <c r="C32" s="13">
        <v>0</v>
      </c>
      <c r="D32" s="13">
        <v>0</v>
      </c>
      <c r="E32" s="13">
        <v>1648.49</v>
      </c>
      <c r="F32" s="13">
        <v>1805.99</v>
      </c>
      <c r="G32" s="13">
        <v>18032.02</v>
      </c>
      <c r="H32" s="13">
        <v>17388.48</v>
      </c>
      <c r="I32" s="13">
        <v>0</v>
      </c>
      <c r="J32" s="13">
        <v>4286.5600000000004</v>
      </c>
      <c r="K32" s="13">
        <v>3196.57</v>
      </c>
      <c r="L32" s="13">
        <v>16445.29</v>
      </c>
      <c r="M32" s="13">
        <v>0</v>
      </c>
      <c r="N32" s="23">
        <f t="shared" si="17"/>
        <v>81090.899999999994</v>
      </c>
    </row>
    <row r="33" spans="1:18" s="22" customFormat="1" ht="19.5" customHeight="1" thickBot="1" x14ac:dyDescent="0.3">
      <c r="A33" s="21" t="s">
        <v>29</v>
      </c>
      <c r="B33" s="24">
        <v>923.87</v>
      </c>
      <c r="C33" s="24">
        <v>923.87</v>
      </c>
      <c r="D33" s="24">
        <v>923.87</v>
      </c>
      <c r="E33" s="24">
        <v>923.87</v>
      </c>
      <c r="F33" s="24">
        <v>923.87</v>
      </c>
      <c r="G33" s="24">
        <v>923.87</v>
      </c>
      <c r="H33" s="24">
        <v>940.42</v>
      </c>
      <c r="I33" s="24">
        <v>940.42</v>
      </c>
      <c r="J33" s="24">
        <v>940.42</v>
      </c>
      <c r="K33" s="24">
        <v>940.42</v>
      </c>
      <c r="L33" s="24">
        <v>940.42</v>
      </c>
      <c r="M33" s="24">
        <v>940.42</v>
      </c>
      <c r="N33" s="23">
        <f t="shared" si="17"/>
        <v>11185.74</v>
      </c>
      <c r="R33" s="26"/>
    </row>
    <row r="34" spans="1:18" ht="22.5" customHeight="1" thickBot="1" x14ac:dyDescent="0.3">
      <c r="A34" s="10" t="s">
        <v>6</v>
      </c>
      <c r="B34" s="23">
        <f>8268.8*2.83</f>
        <v>23400.703999999998</v>
      </c>
      <c r="C34" s="23">
        <f t="shared" ref="C34:G34" si="19">8268.8*2.83</f>
        <v>23400.703999999998</v>
      </c>
      <c r="D34" s="23">
        <f t="shared" si="19"/>
        <v>23400.703999999998</v>
      </c>
      <c r="E34" s="23">
        <f t="shared" si="19"/>
        <v>23400.703999999998</v>
      </c>
      <c r="F34" s="23">
        <f t="shared" si="19"/>
        <v>23400.703999999998</v>
      </c>
      <c r="G34" s="23">
        <f t="shared" si="19"/>
        <v>23400.703999999998</v>
      </c>
      <c r="H34" s="23">
        <f>8265.2*3.13</f>
        <v>25870.076000000001</v>
      </c>
      <c r="I34" s="23">
        <f t="shared" ref="I34:M34" si="20">8265.2*3.13</f>
        <v>25870.076000000001</v>
      </c>
      <c r="J34" s="23">
        <f t="shared" si="20"/>
        <v>25870.076000000001</v>
      </c>
      <c r="K34" s="23">
        <f t="shared" si="20"/>
        <v>25870.076000000001</v>
      </c>
      <c r="L34" s="23">
        <f t="shared" si="20"/>
        <v>25870.076000000001</v>
      </c>
      <c r="M34" s="23">
        <f t="shared" si="20"/>
        <v>25870.076000000001</v>
      </c>
      <c r="N34" s="23">
        <f t="shared" si="17"/>
        <v>295624.68</v>
      </c>
    </row>
    <row r="35" spans="1:18" ht="20.25" customHeight="1" thickBot="1" x14ac:dyDescent="0.3">
      <c r="A35" s="10" t="s">
        <v>25</v>
      </c>
      <c r="B35" s="23">
        <v>27445.279999999999</v>
      </c>
      <c r="C35" s="23">
        <v>27445.279999999999</v>
      </c>
      <c r="D35" s="23">
        <v>27445.279999999999</v>
      </c>
      <c r="E35" s="23">
        <v>27445.279999999999</v>
      </c>
      <c r="F35" s="23">
        <v>27445.279999999999</v>
      </c>
      <c r="G35" s="23">
        <v>27445.279999999999</v>
      </c>
      <c r="H35" s="23">
        <v>27445.279999999999</v>
      </c>
      <c r="I35" s="23">
        <v>27445.279999999999</v>
      </c>
      <c r="J35" s="23">
        <v>27445.279999999999</v>
      </c>
      <c r="K35" s="23">
        <v>27445.279999999999</v>
      </c>
      <c r="L35" s="23">
        <v>27445.279999999999</v>
      </c>
      <c r="M35" s="23">
        <v>27445.279999999999</v>
      </c>
      <c r="N35" s="23">
        <f t="shared" si="17"/>
        <v>329343.35999999999</v>
      </c>
    </row>
    <row r="36" spans="1:18" ht="18.75" customHeight="1" thickBot="1" x14ac:dyDescent="0.3">
      <c r="A36" s="10" t="s">
        <v>26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f t="shared" si="17"/>
        <v>0</v>
      </c>
    </row>
    <row r="37" spans="1:18" ht="21.75" customHeight="1" thickBot="1" x14ac:dyDescent="0.3">
      <c r="A37" s="10" t="s">
        <v>28</v>
      </c>
      <c r="B37" s="23">
        <v>10660</v>
      </c>
      <c r="C37" s="13">
        <v>10445</v>
      </c>
      <c r="D37" s="13">
        <v>10380</v>
      </c>
      <c r="E37" s="13">
        <v>10675</v>
      </c>
      <c r="F37" s="13">
        <v>10020</v>
      </c>
      <c r="G37" s="13">
        <v>9765</v>
      </c>
      <c r="H37" s="13">
        <v>13685</v>
      </c>
      <c r="I37" s="13">
        <v>10960</v>
      </c>
      <c r="J37" s="13">
        <v>12765</v>
      </c>
      <c r="K37" s="13">
        <v>14180</v>
      </c>
      <c r="L37" s="13">
        <v>10840</v>
      </c>
      <c r="M37" s="13">
        <v>10670</v>
      </c>
      <c r="N37" s="23">
        <f t="shared" si="17"/>
        <v>135045</v>
      </c>
    </row>
    <row r="38" spans="1:18" ht="21" customHeight="1" thickBot="1" x14ac:dyDescent="0.3">
      <c r="A38" s="10" t="s">
        <v>23</v>
      </c>
      <c r="B38" s="23">
        <v>1980</v>
      </c>
      <c r="C38" s="23">
        <v>1980</v>
      </c>
      <c r="D38" s="23">
        <v>1980</v>
      </c>
      <c r="E38" s="23">
        <v>1980</v>
      </c>
      <c r="F38" s="23">
        <v>1980</v>
      </c>
      <c r="G38" s="23">
        <v>1980</v>
      </c>
      <c r="H38" s="23">
        <v>1980</v>
      </c>
      <c r="I38" s="23">
        <v>1980</v>
      </c>
      <c r="J38" s="23">
        <v>1980</v>
      </c>
      <c r="K38" s="23">
        <v>1980</v>
      </c>
      <c r="L38" s="23">
        <v>1980</v>
      </c>
      <c r="M38" s="23">
        <v>1980</v>
      </c>
      <c r="N38" s="23">
        <f t="shared" si="17"/>
        <v>23760</v>
      </c>
      <c r="R38" s="20"/>
    </row>
    <row r="39" spans="1:18" ht="19.5" customHeight="1" thickBot="1" x14ac:dyDescent="0.3">
      <c r="A39" s="10" t="s">
        <v>27</v>
      </c>
      <c r="B39" s="23">
        <v>1800</v>
      </c>
      <c r="C39" s="23">
        <v>1800</v>
      </c>
      <c r="D39" s="23">
        <v>1800</v>
      </c>
      <c r="E39" s="23">
        <v>1800</v>
      </c>
      <c r="F39" s="23">
        <v>1800</v>
      </c>
      <c r="G39" s="23">
        <v>1800</v>
      </c>
      <c r="H39" s="23">
        <v>1800</v>
      </c>
      <c r="I39" s="23">
        <v>1800</v>
      </c>
      <c r="J39" s="23">
        <v>1800</v>
      </c>
      <c r="K39" s="23">
        <v>1800</v>
      </c>
      <c r="L39" s="23">
        <v>1800</v>
      </c>
      <c r="M39" s="23">
        <v>1800</v>
      </c>
      <c r="N39" s="23">
        <f t="shared" si="17"/>
        <v>21600</v>
      </c>
    </row>
    <row r="40" spans="1:18" ht="20.25" customHeight="1" thickBot="1" x14ac:dyDescent="0.3">
      <c r="A40" s="10" t="s">
        <v>10</v>
      </c>
      <c r="B40" s="23">
        <f>1781+446.1+486.9</f>
        <v>2714</v>
      </c>
      <c r="C40" s="13">
        <f>75+850.7+1150</f>
        <v>2075.6999999999998</v>
      </c>
      <c r="D40" s="13">
        <f>285.4</f>
        <v>285.39999999999998</v>
      </c>
      <c r="E40" s="13">
        <f>12237.46+75+175</f>
        <v>12487.46</v>
      </c>
      <c r="F40" s="13">
        <f>726.9+2338.6+18439.02</f>
        <v>21504.52</v>
      </c>
      <c r="G40" s="13">
        <f>4115.8+1866.4+5438+807.9+10891.3+368.6+65</f>
        <v>23553</v>
      </c>
      <c r="H40" s="13">
        <f>557+35927+3100+15978.49</f>
        <v>55562.49</v>
      </c>
      <c r="I40" s="13">
        <f>2026.8+2010.9+13603.3</f>
        <v>17641</v>
      </c>
      <c r="J40" s="13">
        <v>152451.29</v>
      </c>
      <c r="K40" s="13">
        <f>2188.6+12069.5+1184.3+3819.4+34578.1+33352+128269.73+2925</f>
        <v>218386.63</v>
      </c>
      <c r="L40" s="13">
        <f>1120.2+15127.9+1407.7</f>
        <v>17655.8</v>
      </c>
      <c r="M40" s="13">
        <f>1130.4+5630.9+12377.83+26204.05</f>
        <v>45343.179999999993</v>
      </c>
      <c r="N40" s="23">
        <f t="shared" si="17"/>
        <v>569660.47</v>
      </c>
    </row>
    <row r="41" spans="1:18" ht="22.5" customHeight="1" thickBot="1" x14ac:dyDescent="0.3">
      <c r="A41" s="6" t="s">
        <v>21</v>
      </c>
      <c r="B41" s="12">
        <f t="shared" ref="B41:M41" si="21">SUM(B25:B40)</f>
        <v>154903.13675000001</v>
      </c>
      <c r="C41" s="12">
        <f t="shared" si="21"/>
        <v>136186.48699999999</v>
      </c>
      <c r="D41" s="12">
        <f t="shared" si="21"/>
        <v>134669.29905999996</v>
      </c>
      <c r="E41" s="12">
        <f t="shared" si="21"/>
        <v>148329.34170999998</v>
      </c>
      <c r="F41" s="12">
        <f t="shared" si="21"/>
        <v>156457.97822999998</v>
      </c>
      <c r="G41" s="12">
        <f t="shared" si="21"/>
        <v>175824.26848999999</v>
      </c>
      <c r="H41" s="12">
        <f t="shared" si="21"/>
        <v>237001.85976999998</v>
      </c>
      <c r="I41" s="12">
        <f t="shared" si="21"/>
        <v>165159.44722000003</v>
      </c>
      <c r="J41" s="12">
        <f t="shared" si="21"/>
        <v>306615.21600000001</v>
      </c>
      <c r="K41" s="12">
        <f t="shared" si="21"/>
        <v>371381.69868999999</v>
      </c>
      <c r="L41" s="12">
        <f t="shared" si="21"/>
        <v>180170.54099999997</v>
      </c>
      <c r="M41" s="12">
        <f t="shared" si="21"/>
        <v>191563.08966</v>
      </c>
      <c r="N41" s="12">
        <f>SUM(B41:M41)</f>
        <v>2358262.3635799997</v>
      </c>
      <c r="Q41" s="20"/>
    </row>
    <row r="42" spans="1:18" ht="18" customHeight="1" thickBot="1" x14ac:dyDescent="0.3">
      <c r="A42" s="7" t="s">
        <v>5</v>
      </c>
      <c r="B42" s="15">
        <f t="shared" ref="B42:N42" si="22">B15-B41</f>
        <v>3676.1932500000112</v>
      </c>
      <c r="C42" s="15">
        <f t="shared" si="22"/>
        <v>21985.343000000023</v>
      </c>
      <c r="D42" s="15">
        <f t="shared" si="22"/>
        <v>45916.340940000053</v>
      </c>
      <c r="E42" s="15">
        <f t="shared" si="22"/>
        <v>4822.678290000069</v>
      </c>
      <c r="F42" s="15">
        <f t="shared" si="22"/>
        <v>-31419.378229999988</v>
      </c>
      <c r="G42" s="15">
        <f t="shared" si="22"/>
        <v>2556.3915099999867</v>
      </c>
      <c r="H42" s="15">
        <f t="shared" si="22"/>
        <v>-46872.799769999983</v>
      </c>
      <c r="I42" s="15">
        <f t="shared" si="22"/>
        <v>43240.51277999999</v>
      </c>
      <c r="J42" s="15">
        <f t="shared" si="22"/>
        <v>-66358.925999999978</v>
      </c>
      <c r="K42" s="15">
        <f t="shared" si="22"/>
        <v>-193027.30869000001</v>
      </c>
      <c r="L42" s="15">
        <f t="shared" si="22"/>
        <v>-1595.8609999999753</v>
      </c>
      <c r="M42" s="15">
        <f t="shared" si="22"/>
        <v>-12112.659660000034</v>
      </c>
      <c r="N42" s="13">
        <f t="shared" si="22"/>
        <v>-229189.47357999953</v>
      </c>
    </row>
    <row r="43" spans="1:18" ht="23.25" customHeight="1" thickBot="1" x14ac:dyDescent="0.3">
      <c r="A43" s="7" t="s">
        <v>7</v>
      </c>
      <c r="B43" s="16">
        <f t="shared" ref="B43:N43" si="23">B4+B42</f>
        <v>-319517.53674999997</v>
      </c>
      <c r="C43" s="16">
        <f t="shared" si="23"/>
        <v>-297532.19374999998</v>
      </c>
      <c r="D43" s="16">
        <f t="shared" si="23"/>
        <v>-251615.85280999992</v>
      </c>
      <c r="E43" s="16">
        <f t="shared" si="23"/>
        <v>-246793.17451999985</v>
      </c>
      <c r="F43" s="16">
        <f t="shared" si="23"/>
        <v>-278212.55274999986</v>
      </c>
      <c r="G43" s="16">
        <f t="shared" si="23"/>
        <v>-275656.16123999987</v>
      </c>
      <c r="H43" s="16">
        <f t="shared" si="23"/>
        <v>-322528.96100999985</v>
      </c>
      <c r="I43" s="16">
        <f t="shared" si="23"/>
        <v>-279288.44822999986</v>
      </c>
      <c r="J43" s="16">
        <f t="shared" si="23"/>
        <v>-345647.37422999984</v>
      </c>
      <c r="K43" s="16">
        <f t="shared" si="23"/>
        <v>-538674.68291999982</v>
      </c>
      <c r="L43" s="16">
        <f t="shared" si="23"/>
        <v>-540270.54391999985</v>
      </c>
      <c r="M43" s="16">
        <f t="shared" si="23"/>
        <v>-552383.20357999986</v>
      </c>
      <c r="N43" s="16">
        <f t="shared" si="23"/>
        <v>-552383.20357999951</v>
      </c>
    </row>
    <row r="44" spans="1:18" ht="27" customHeight="1" thickBot="1" x14ac:dyDescent="0.3">
      <c r="A44" s="9" t="s">
        <v>11</v>
      </c>
      <c r="B44" s="19">
        <f>B5+B15-B6</f>
        <v>-571682.06999999995</v>
      </c>
      <c r="C44" s="19">
        <f t="shared" ref="C44:N44" si="24">C5+C15-C6</f>
        <v>-602184.71</v>
      </c>
      <c r="D44" s="19">
        <f t="shared" si="24"/>
        <v>-592229.47</v>
      </c>
      <c r="E44" s="19">
        <f t="shared" si="24"/>
        <v>-586687.1</v>
      </c>
      <c r="F44" s="19">
        <f t="shared" si="24"/>
        <v>-633684.41999999993</v>
      </c>
      <c r="G44" s="19">
        <f t="shared" si="24"/>
        <v>-629861.05999999994</v>
      </c>
      <c r="H44" s="19">
        <f t="shared" si="24"/>
        <v>-645407.98999999987</v>
      </c>
      <c r="I44" s="19">
        <f t="shared" si="24"/>
        <v>-656207.69999999984</v>
      </c>
      <c r="J44" s="19">
        <f t="shared" si="24"/>
        <v>-602981.83999999985</v>
      </c>
      <c r="K44" s="19">
        <f t="shared" si="24"/>
        <v>-616228.22999999986</v>
      </c>
      <c r="L44" s="19">
        <f t="shared" si="24"/>
        <v>-628454.70999999985</v>
      </c>
      <c r="M44" s="19">
        <f>M5+M15-M6</f>
        <v>-652690.6399999999</v>
      </c>
      <c r="N44" s="19">
        <f t="shared" si="24"/>
        <v>-652690.63999999966</v>
      </c>
    </row>
    <row r="50" spans="4:6" x14ac:dyDescent="0.25">
      <c r="F50" s="20"/>
    </row>
    <row r="51" spans="4:6" x14ac:dyDescent="0.25">
      <c r="D51" s="25"/>
    </row>
  </sheetData>
  <mergeCells count="1">
    <mergeCell ref="A1:N1"/>
  </mergeCells>
  <phoneticPr fontId="4" type="noConversion"/>
  <pageMargins left="0.19685039370078741" right="0.19685039370078741" top="0.19685039370078741" bottom="0.19685039370078741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2022-03-18T05:31:48Z</cp:lastPrinted>
  <dcterms:created xsi:type="dcterms:W3CDTF">2011-06-06T03:25:48Z</dcterms:created>
  <dcterms:modified xsi:type="dcterms:W3CDTF">2022-03-18T05:40:13Z</dcterms:modified>
</cp:coreProperties>
</file>